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117"/>
  <workbookPr showInkAnnotation="0" autoCompressPictures="0"/>
  <bookViews>
    <workbookView xWindow="11080" yWindow="0" windowWidth="25600" windowHeight="15740" tabRatio="500" activeTab="1"/>
  </bookViews>
  <sheets>
    <sheet name="Prob. 1" sheetId="1" r:id="rId1"/>
    <sheet name="Prob. 2" sheetId="2" r:id="rId2"/>
    <sheet name="Prob. 3" sheetId="3" r:id="rId3"/>
  </sheets>
  <definedNames>
    <definedName name="solver_adj" localSheetId="0" hidden="1">'Prob. 1'!$A$67</definedName>
    <definedName name="solver_cvg" localSheetId="0" hidden="1">0.0001</definedName>
    <definedName name="solver_drv" localSheetId="0" hidden="1">1</definedName>
    <definedName name="solver_eng" localSheetId="0" hidden="1">1</definedName>
    <definedName name="solver_itr" localSheetId="0" hidden="1">2147483647</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0</definedName>
    <definedName name="solver_opt" localSheetId="0" hidden="1">'Prob. 1'!$G$74</definedName>
    <definedName name="solver_pre" localSheetId="0" hidden="1">0.000001</definedName>
    <definedName name="solver_rbv" localSheetId="0" hidden="1">1</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3</definedName>
    <definedName name="solver_val" localSheetId="0" hidden="1">0</definedName>
    <definedName name="solver_ver" localSheetId="0" hidden="1">2</definedName>
  </definedNames>
  <calcPr calcId="140000"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20" i="2" l="1"/>
  <c r="C19" i="2"/>
  <c r="C15" i="2"/>
  <c r="C17" i="2"/>
  <c r="C16" i="2"/>
  <c r="C10" i="3"/>
  <c r="C28" i="3"/>
  <c r="C30" i="3"/>
  <c r="C24" i="3"/>
  <c r="C22" i="3"/>
  <c r="C19" i="3"/>
  <c r="C8" i="3"/>
  <c r="C17" i="3"/>
  <c r="D14" i="2"/>
  <c r="G9" i="2"/>
  <c r="E9" i="2"/>
  <c r="D9" i="2"/>
  <c r="C9" i="2"/>
  <c r="B9" i="2"/>
  <c r="F64" i="1"/>
  <c r="G76" i="1"/>
  <c r="G67" i="1"/>
  <c r="E68" i="1"/>
  <c r="G68" i="1"/>
  <c r="E69" i="1"/>
  <c r="G69" i="1"/>
  <c r="E70" i="1"/>
  <c r="G70" i="1"/>
  <c r="E71" i="1"/>
  <c r="G71" i="1"/>
  <c r="E72" i="1"/>
  <c r="G72" i="1"/>
  <c r="E73" i="1"/>
  <c r="G73" i="1"/>
  <c r="G74" i="1"/>
  <c r="F70" i="1"/>
  <c r="F71" i="1"/>
  <c r="F72" i="1"/>
  <c r="F73" i="1"/>
  <c r="F74" i="1"/>
  <c r="E74" i="1"/>
  <c r="D69" i="1"/>
  <c r="D70" i="1"/>
  <c r="D71" i="1"/>
  <c r="D72" i="1"/>
  <c r="D73" i="1"/>
  <c r="C58" i="1"/>
  <c r="F62" i="1"/>
  <c r="C55" i="1"/>
  <c r="F47" i="1"/>
  <c r="G45" i="1"/>
  <c r="E46" i="1"/>
  <c r="G46" i="1"/>
  <c r="E47" i="1"/>
  <c r="G47" i="1"/>
  <c r="E48" i="1"/>
  <c r="F48" i="1"/>
  <c r="G48" i="1"/>
  <c r="E49" i="1"/>
  <c r="F49" i="1"/>
  <c r="G49" i="1"/>
  <c r="E50" i="1"/>
  <c r="F50" i="1"/>
  <c r="G50" i="1"/>
  <c r="E51" i="1"/>
  <c r="E52" i="1"/>
  <c r="G29" i="1"/>
  <c r="E30" i="1"/>
  <c r="G30" i="1"/>
  <c r="E31" i="1"/>
  <c r="G31" i="1"/>
  <c r="E32" i="1"/>
  <c r="F32" i="1"/>
  <c r="G32" i="1"/>
  <c r="E33" i="1"/>
  <c r="F33" i="1"/>
  <c r="G33" i="1"/>
  <c r="E34" i="1"/>
  <c r="F34" i="1"/>
  <c r="G34" i="1"/>
  <c r="E35" i="1"/>
  <c r="E42" i="1"/>
  <c r="E53" i="1"/>
  <c r="F51" i="1"/>
  <c r="D47" i="1"/>
  <c r="D48" i="1"/>
  <c r="D49" i="1"/>
  <c r="D50" i="1"/>
  <c r="D51" i="1"/>
  <c r="F37" i="1"/>
  <c r="F35" i="1"/>
  <c r="G35" i="1"/>
  <c r="D31" i="1"/>
  <c r="D32" i="1"/>
  <c r="D33" i="1"/>
  <c r="D34" i="1"/>
  <c r="D35" i="1"/>
  <c r="E29" i="1"/>
  <c r="G16" i="1"/>
  <c r="F24" i="1"/>
  <c r="F18" i="1"/>
  <c r="F19" i="1"/>
  <c r="F20" i="1"/>
  <c r="F21" i="1"/>
  <c r="F22" i="1"/>
  <c r="E17" i="1"/>
  <c r="G17" i="1"/>
  <c r="E18" i="1"/>
  <c r="G18" i="1"/>
  <c r="E19" i="1"/>
  <c r="G19" i="1"/>
  <c r="E20" i="1"/>
  <c r="G20" i="1"/>
  <c r="E21" i="1"/>
  <c r="G21" i="1"/>
  <c r="E22" i="1"/>
  <c r="G22" i="1"/>
  <c r="D18" i="1"/>
  <c r="D19" i="1"/>
  <c r="D20" i="1"/>
  <c r="D21" i="1"/>
  <c r="D22" i="1"/>
  <c r="E16" i="1"/>
  <c r="D6" i="1"/>
  <c r="D7" i="1"/>
  <c r="D8" i="1"/>
  <c r="D9" i="1"/>
  <c r="D10" i="1"/>
  <c r="G4" i="1"/>
  <c r="E5" i="1"/>
  <c r="G5" i="1"/>
  <c r="E6" i="1"/>
  <c r="G6" i="1"/>
  <c r="E7" i="1"/>
  <c r="F7" i="1"/>
  <c r="G7" i="1"/>
  <c r="E8" i="1"/>
  <c r="F8" i="1"/>
  <c r="G8" i="1"/>
  <c r="E9" i="1"/>
  <c r="F9" i="1"/>
  <c r="G9" i="1"/>
  <c r="E10" i="1"/>
  <c r="F10" i="1"/>
  <c r="G10" i="1"/>
  <c r="E4" i="1"/>
  <c r="G51" i="1"/>
</calcChain>
</file>

<file path=xl/sharedStrings.xml><?xml version="1.0" encoding="utf-8"?>
<sst xmlns="http://schemas.openxmlformats.org/spreadsheetml/2006/main" count="118" uniqueCount="81">
  <si>
    <t>(a) Create a table that shows the amount of interest accrued each period, the amount of each payment (starting at the end of the FIRST year), and the remaining balance. Do this manually in Excel and copy your results to the exam page. Manually adjust the payment so that the balance is close to zero at the end of the three-year period. Draw the corresponding cash flow diagram.</t>
  </si>
  <si>
    <t>Principal</t>
  </si>
  <si>
    <t>Fee</t>
  </si>
  <si>
    <t>Interest</t>
  </si>
  <si>
    <t>Pay Period</t>
  </si>
  <si>
    <t>Interest Rate</t>
  </si>
  <si>
    <t>Payment</t>
  </si>
  <si>
    <t>Balance</t>
  </si>
  <si>
    <t>(b) Next, determine the amount of the semiannual payment using either Excel functions, equations, tables, etc. Demonstrate that this result matches part (a).</t>
  </si>
  <si>
    <t>If the first payment was not delayed, we could use the PMT function:</t>
  </si>
  <si>
    <t>Check with the PMT function:</t>
  </si>
  <si>
    <t>But, we delayed the payment by one pay period. There are a few ways to solve this. I will use a direct method that manually accumulates interest for the first period, and then uses PMT for the remaining periods. Let's first apply Solver:</t>
  </si>
  <si>
    <t>(c) Compute the effective annual interest rate of this loan. Explain your computation and show, based on the table in (a) that it makes sense.</t>
  </si>
  <si>
    <t>Because of the delayed payment and the points, this calculation is a little more complicated. We want effective interest, not APR. Do compute the effective interest, we can approach this by calculating the total interest and then determining what the equivalent interest rate would be to generate that amount of interest.</t>
  </si>
  <si>
    <t>Total Interest:</t>
  </si>
  <si>
    <t>So the effective interest rate is:</t>
  </si>
  <si>
    <t>Now, just for kicks, let's rebuild the spreadsheet assuming this was the total interest charged, and iteratively search to find the effective interest rate:</t>
  </si>
  <si>
    <t>We can approximate this effective interest rate by assuming 6 equal payments at a base rate of 10% (on a balance of $11550):</t>
  </si>
  <si>
    <t>Note that the "effective" interest computing using EFFECT is in fact smaller than what we computed manually using the two variable optimization. I accepted either answer.</t>
  </si>
  <si>
    <t>(d) Compute the present value of this loan using a TVOM factor of 5%. Justify your answer.</t>
  </si>
  <si>
    <t>The total payments were:</t>
  </si>
  <si>
    <t>The TVOM is:</t>
  </si>
  <si>
    <t>The Present Value is:</t>
  </si>
  <si>
    <t>This is a two-variable optimization, which is beyond the scope of this course at present. But it is important to recognize the impact of delaying the first payment, which drvies your interest costs higher for the overall loan.</t>
  </si>
  <si>
    <t>Note that this number is higher than the amount financed. This is expected because you are gaining use of the money. In other words, if you invested $11,502 at 5% interest, you would be left with $13,339 at the end of six periods:</t>
  </si>
  <si>
    <t>Let's check this with the future value calculation:</t>
  </si>
  <si>
    <t>(a) The loan will be figured on a total of $265,130 borrowed.</t>
  </si>
  <si>
    <t>(c) The effective interest rate will exceed 7.5 percent.</t>
  </si>
  <si>
    <t>(d) The APR will be less than 7.5 percent.</t>
  </si>
  <si>
    <t>You must show your work and explain your calculations.</t>
  </si>
  <si>
    <t>(b) There can (unfortunately) be multiple methods of computing the APR (annual percentage rate) on such a loan, yielding (usually slightly) different answers.</t>
  </si>
  <si>
    <t>Purchase Price</t>
  </si>
  <si>
    <t>Down Payment</t>
  </si>
  <si>
    <t>Amount Financed</t>
  </si>
  <si>
    <t>Monthly Payment</t>
  </si>
  <si>
    <t>Points+
Closing Costs</t>
  </si>
  <si>
    <t>Adjusted Price</t>
  </si>
  <si>
    <t>(a) is true (see cell C9)</t>
  </si>
  <si>
    <t>(b) is true (see page 125 of the textbook)</t>
  </si>
  <si>
    <t>(c) is true since there are closing costs, etc. factored into the loan and the interest is compounded monthly.</t>
  </si>
  <si>
    <t>(d) The APR can be calculated as:</t>
  </si>
  <si>
    <t>So (d) is false.</t>
  </si>
  <si>
    <t>P=</t>
  </si>
  <si>
    <t>r=</t>
  </si>
  <si>
    <t>NOMINAL ANNUAL</t>
  </si>
  <si>
    <t>n=</t>
  </si>
  <si>
    <t>MONTHS</t>
  </si>
  <si>
    <t>m=</t>
  </si>
  <si>
    <t>MONTHS PER YEAR</t>
  </si>
  <si>
    <t>a</t>
  </si>
  <si>
    <t>A=</t>
  </si>
  <si>
    <t>USING ELECTRONIC INTEREST TABLES THIS IS</t>
  </si>
  <si>
    <t>=$600,000*(A|P 6.9932%/12,360)</t>
  </si>
  <si>
    <t>USING EXCEL'S PMT FUNCTION THIS IS</t>
  </si>
  <si>
    <t>=PMT(6.9932%/12,360,-600000)</t>
  </si>
  <si>
    <t>SEE WEB-BASED CALCULATIONS 1 AND 2 BELOW</t>
  </si>
  <si>
    <t>b</t>
  </si>
  <si>
    <t>FIND PRESENT WORTH OF FINAL 240 PAYMENTS</t>
  </si>
  <si>
    <t>P(240)=</t>
  </si>
  <si>
    <t>=$3,988.08*(P|A 6.9932%/12,240)</t>
  </si>
  <si>
    <t>=PV(6.9932%/12,240,-3989.08)</t>
  </si>
  <si>
    <t>c</t>
  </si>
  <si>
    <t>EFFECTIVE RATE</t>
  </si>
  <si>
    <t>=EFFECT(6.9932%,12)</t>
  </si>
  <si>
    <t>=(1+RATE(360,-3989.08,600000))^12-1</t>
  </si>
  <si>
    <t>d</t>
  </si>
  <si>
    <t>RECALL, THERE ARE NO POINTS AND NO CLOSING COSTS</t>
  </si>
  <si>
    <t>APR=</t>
  </si>
  <si>
    <t>=RATE(360,-3989.08,600000)*12</t>
  </si>
  <si>
    <t>WEB-BASED CALCULATION 1:</t>
  </si>
  <si>
    <t>WEB-BASED CALCULATION 2:</t>
  </si>
  <si>
    <t>2. A house is to be purchased for $270,000 with a 5 percent down payment, thereby financing $256,500 with a home loan and mortgage. There are 2 points assessed, and there are additional closing charges of $3,500, with both points and additional charges being included in the loan. A conventional 30-year loan is used at 7.5 percent, resulting in monthly payments of $1,853.83. Which of the following statements is false?</t>
  </si>
  <si>
    <r>
      <rPr>
        <sz val="12"/>
        <color theme="1"/>
        <rFont val="Arial"/>
      </rPr>
      <t>1.</t>
    </r>
    <r>
      <rPr>
        <b/>
        <sz val="12"/>
        <color theme="1"/>
        <rFont val="Arial"/>
      </rPr>
      <t xml:space="preserve"> </t>
    </r>
    <r>
      <rPr>
        <sz val="12"/>
        <color theme="1"/>
        <rFont val="Arial"/>
      </rPr>
      <t>Cash Flow Diagrams and Compounded Interest: You decide to take out a loan for $10,000 at an annual interest rate of 10% with a loan origination fee of $1,000 (treat this like a closing cost). Your objective in this problem is to determine the amount of the annual payment required to pay this loan off in three years assuming the first payment is made at the end of the FIRST year, and all subsequent payments are the same amount (equal payments). You will make semiannual payments (two per year, or every six months), but the first payment occurs at the end of the FIRST year and every six months after that.</t>
    </r>
  </si>
  <si>
    <t>3. (PROBLEM 3.15 from the textbook)</t>
  </si>
  <si>
    <t>Note that Excel differs from efunda :(</t>
  </si>
  <si>
    <t>APR (with points):</t>
  </si>
  <si>
    <t>APR (without points):</t>
  </si>
  <si>
    <t>No. of Periods:</t>
  </si>
  <si>
    <t>Payment:</t>
  </si>
  <si>
    <t>Amount Owed:</t>
  </si>
  <si>
    <t>End of Loan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</si>
</sst>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quot;$&quot;#,##0.00"/>
    <numFmt numFmtId="165" formatCode="#,##0.0"/>
    <numFmt numFmtId="166" formatCode="0.0000%"/>
  </numFmts>
  <fonts count="6"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ont>
    <font>
      <b/>
      <sz val="12"/>
      <color theme="1"/>
      <name val="Arial"/>
    </font>
    <font>
      <sz val="1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5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7">
    <xf numFmtId="0" fontId="0" fillId="0" borderId="0" xfId="0"/>
    <xf numFmtId="0" fontId="3" fillId="0" borderId="0" xfId="0" applyFont="1"/>
    <xf numFmtId="49" fontId="3" fillId="0" borderId="0" xfId="0" applyNumberFormat="1" applyFont="1" applyAlignment="1">
      <alignment horizontal="center" vertical="center" wrapText="1"/>
    </xf>
    <xf numFmtId="164" fontId="3" fillId="0" borderId="0" xfId="0" applyNumberFormat="1" applyFont="1"/>
    <xf numFmtId="10" fontId="3" fillId="0" borderId="0" xfId="0" applyNumberFormat="1" applyFont="1"/>
    <xf numFmtId="165" fontId="3" fillId="0" borderId="0" xfId="0" applyNumberFormat="1" applyFont="1"/>
    <xf numFmtId="49" fontId="4" fillId="0" borderId="0" xfId="0" applyNumberFormat="1" applyFont="1" applyAlignment="1">
      <alignment horizontal="left" vertical="center" wrapText="1"/>
    </xf>
    <xf numFmtId="49" fontId="3" fillId="0" borderId="0" xfId="0" applyNumberFormat="1" applyFont="1" applyAlignment="1">
      <alignment horizontal="left" vertical="top" wrapText="1"/>
    </xf>
    <xf numFmtId="8" fontId="3" fillId="0" borderId="0" xfId="0" applyNumberFormat="1" applyFont="1"/>
    <xf numFmtId="164" fontId="3" fillId="2" borderId="0" xfId="0" applyNumberFormat="1" applyFont="1" applyFill="1"/>
    <xf numFmtId="0" fontId="3" fillId="0" borderId="0" xfId="0" applyFont="1" applyAlignment="1">
      <alignment horizontal="right"/>
    </xf>
    <xf numFmtId="164" fontId="3" fillId="0" borderId="0" xfId="0" applyNumberFormat="1" applyFont="1" applyFill="1"/>
    <xf numFmtId="0" fontId="3" fillId="0" borderId="0" xfId="0" applyFont="1" applyAlignment="1">
      <alignment horizontal="center" vertical="center" wrapText="1"/>
    </xf>
    <xf numFmtId="0" fontId="3" fillId="2" borderId="0" xfId="0" applyFont="1" applyFill="1"/>
    <xf numFmtId="0" fontId="5" fillId="0" borderId="0" xfId="0" applyFont="1" applyAlignment="1">
      <alignment horizontal="center"/>
    </xf>
    <xf numFmtId="0" fontId="5" fillId="0" borderId="0" xfId="0" applyFont="1"/>
    <xf numFmtId="164" fontId="5" fillId="0" borderId="0" xfId="0" applyNumberFormat="1" applyFont="1"/>
    <xf numFmtId="166" fontId="5" fillId="0" borderId="0" xfId="0" applyNumberFormat="1" applyFont="1"/>
    <xf numFmtId="8" fontId="5" fillId="0" borderId="0" xfId="0" applyNumberFormat="1" applyFont="1"/>
    <xf numFmtId="0" fontId="5" fillId="0" borderId="0" xfId="0" quotePrefix="1" applyFont="1"/>
    <xf numFmtId="0" fontId="5" fillId="0" borderId="0" xfId="0" applyFont="1" applyAlignment="1">
      <alignment horizontal="left"/>
    </xf>
    <xf numFmtId="0" fontId="3" fillId="0" borderId="0" xfId="0" applyFont="1" applyAlignment="1">
      <alignment horizontal="right"/>
    </xf>
    <xf numFmtId="49" fontId="3" fillId="0" borderId="0" xfId="0" applyNumberFormat="1" applyFont="1" applyAlignment="1">
      <alignment horizontal="left" vertical="center" wrapText="1"/>
    </xf>
    <xf numFmtId="49" fontId="3" fillId="0" borderId="0" xfId="0" applyNumberFormat="1" applyFont="1" applyAlignment="1">
      <alignment horizontal="left" vertical="top" wrapText="1"/>
    </xf>
    <xf numFmtId="49" fontId="4" fillId="0" borderId="0" xfId="0" applyNumberFormat="1"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22</xdr:row>
      <xdr:rowOff>127000</xdr:rowOff>
    </xdr:from>
    <xdr:to>
      <xdr:col>9</xdr:col>
      <xdr:colOff>292100</xdr:colOff>
      <xdr:row>40</xdr:row>
      <xdr:rowOff>63500</xdr:rowOff>
    </xdr:to>
    <xdr:pic>
      <xdr:nvPicPr>
        <xdr:cNvPr id="3" name="Picture 2" descr="Screen Shot 2013-03-02 at 3.44.02 PM.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283200"/>
          <a:ext cx="8293100" cy="3365500"/>
        </a:xfrm>
        <a:prstGeom prst="rect">
          <a:avLst/>
        </a:prstGeom>
      </xdr:spPr>
    </xdr:pic>
    <xdr:clientData/>
  </xdr:twoCellAnchor>
  <xdr:twoCellAnchor editAs="oneCell">
    <xdr:from>
      <xdr:col>0</xdr:col>
      <xdr:colOff>0</xdr:colOff>
      <xdr:row>41</xdr:row>
      <xdr:rowOff>0</xdr:rowOff>
    </xdr:from>
    <xdr:to>
      <xdr:col>2</xdr:col>
      <xdr:colOff>901700</xdr:colOff>
      <xdr:row>55</xdr:row>
      <xdr:rowOff>114300</xdr:rowOff>
    </xdr:to>
    <xdr:pic>
      <xdr:nvPicPr>
        <xdr:cNvPr id="5" name="Picture 4" descr="Screen Shot 2013-03-02 at 3.54.01 PM.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775700"/>
          <a:ext cx="2692400" cy="2781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35</xdr:row>
      <xdr:rowOff>9525</xdr:rowOff>
    </xdr:from>
    <xdr:to>
      <xdr:col>5</xdr:col>
      <xdr:colOff>663575</xdr:colOff>
      <xdr:row>74</xdr:row>
      <xdr:rowOff>95250</xdr:rowOff>
    </xdr:to>
    <xdr:pic>
      <xdr:nvPicPr>
        <xdr:cNvPr id="2"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8575" y="5343525"/>
          <a:ext cx="6489700" cy="4848225"/>
        </a:xfrm>
        <a:prstGeom prst="rect">
          <a:avLst/>
        </a:prstGeom>
        <a:noFill/>
        <a:ln w="1">
          <a:noFill/>
          <a:miter lim="800000"/>
          <a:headEnd/>
          <a:tailEnd/>
        </a:ln>
      </xdr:spPr>
    </xdr:pic>
    <xdr:clientData/>
  </xdr:twoCellAnchor>
  <xdr:twoCellAnchor editAs="oneCell">
    <xdr:from>
      <xdr:col>0</xdr:col>
      <xdr:colOff>38100</xdr:colOff>
      <xdr:row>70</xdr:row>
      <xdr:rowOff>19050</xdr:rowOff>
    </xdr:from>
    <xdr:to>
      <xdr:col>6</xdr:col>
      <xdr:colOff>9525</xdr:colOff>
      <xdr:row>108</xdr:row>
      <xdr:rowOff>133350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38100" y="10687050"/>
          <a:ext cx="6499225" cy="472440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opLeftCell="A26" workbookViewId="0">
      <selection sqref="A1:G1"/>
    </sheetView>
  </sheetViews>
  <sheetFormatPr baseColWidth="10" defaultRowHeight="15" x14ac:dyDescent="0"/>
  <cols>
    <col min="1" max="1" width="13.1640625" style="1" customWidth="1"/>
    <col min="2" max="2" width="12.83203125" style="1" customWidth="1"/>
    <col min="3" max="3" width="9" style="1" customWidth="1"/>
    <col min="4" max="4" width="7.5" style="1" customWidth="1"/>
    <col min="5" max="5" width="11" style="1" customWidth="1"/>
    <col min="6" max="6" width="13" style="1" customWidth="1"/>
    <col min="7" max="7" width="12.6640625" style="1" customWidth="1"/>
    <col min="8" max="16384" width="10.83203125" style="1"/>
  </cols>
  <sheetData>
    <row r="1" spans="1:13" ht="121" customHeight="1">
      <c r="A1" s="24" t="s">
        <v>72</v>
      </c>
      <c r="B1" s="24"/>
      <c r="C1" s="24"/>
      <c r="D1" s="24"/>
      <c r="E1" s="24"/>
      <c r="F1" s="24"/>
      <c r="G1" s="24"/>
      <c r="H1" s="6"/>
      <c r="I1" s="6"/>
      <c r="J1" s="6"/>
      <c r="K1" s="6"/>
      <c r="L1" s="6"/>
      <c r="M1" s="6"/>
    </row>
    <row r="2" spans="1:13" ht="78" customHeight="1">
      <c r="A2" s="23" t="s">
        <v>0</v>
      </c>
      <c r="B2" s="23"/>
      <c r="C2" s="23"/>
      <c r="D2" s="23"/>
      <c r="E2" s="23"/>
      <c r="F2" s="23"/>
      <c r="G2" s="23"/>
      <c r="H2" s="7"/>
      <c r="I2" s="7"/>
      <c r="J2" s="7"/>
      <c r="K2" s="7"/>
      <c r="L2" s="7"/>
      <c r="M2" s="7"/>
    </row>
    <row r="3" spans="1:13" ht="30">
      <c r="A3" s="2" t="s">
        <v>1</v>
      </c>
      <c r="B3" s="2" t="s">
        <v>2</v>
      </c>
      <c r="C3" s="2" t="s">
        <v>5</v>
      </c>
      <c r="D3" s="2" t="s">
        <v>4</v>
      </c>
      <c r="E3" s="2" t="s">
        <v>3</v>
      </c>
      <c r="F3" s="2" t="s">
        <v>6</v>
      </c>
      <c r="G3" s="2" t="s">
        <v>7</v>
      </c>
    </row>
    <row r="4" spans="1:13">
      <c r="A4" s="3">
        <v>10000</v>
      </c>
      <c r="B4" s="3">
        <v>1000</v>
      </c>
      <c r="C4" s="4">
        <v>0.1</v>
      </c>
      <c r="D4" s="5">
        <v>0</v>
      </c>
      <c r="E4" s="3">
        <f>0</f>
        <v>0</v>
      </c>
      <c r="F4" s="3">
        <v>0</v>
      </c>
      <c r="G4" s="3">
        <f>SUM(A4:B4)</f>
        <v>11000</v>
      </c>
    </row>
    <row r="5" spans="1:13">
      <c r="A5" s="3"/>
      <c r="B5" s="3"/>
      <c r="C5" s="3"/>
      <c r="D5" s="5">
        <v>0.5</v>
      </c>
      <c r="E5" s="3">
        <f t="shared" ref="E5:E10" si="0">$C$4/2*G4</f>
        <v>550</v>
      </c>
      <c r="F5" s="3">
        <v>0</v>
      </c>
      <c r="G5" s="3">
        <f t="shared" ref="G5:G10" si="1">G4+E5-F5</f>
        <v>11550</v>
      </c>
    </row>
    <row r="6" spans="1:13">
      <c r="A6" s="3"/>
      <c r="B6" s="3"/>
      <c r="C6" s="3"/>
      <c r="D6" s="5">
        <f>D5+0.5</f>
        <v>1</v>
      </c>
      <c r="E6" s="3">
        <f t="shared" si="0"/>
        <v>577.5</v>
      </c>
      <c r="F6" s="3">
        <v>2667.76</v>
      </c>
      <c r="G6" s="3">
        <f t="shared" si="1"/>
        <v>9459.74</v>
      </c>
    </row>
    <row r="7" spans="1:13">
      <c r="A7" s="3"/>
      <c r="B7" s="3"/>
      <c r="C7" s="3"/>
      <c r="D7" s="5">
        <f>D6+0.5</f>
        <v>1.5</v>
      </c>
      <c r="E7" s="3">
        <f t="shared" si="0"/>
        <v>472.98700000000002</v>
      </c>
      <c r="F7" s="3">
        <f>F6</f>
        <v>2667.76</v>
      </c>
      <c r="G7" s="3">
        <f t="shared" si="1"/>
        <v>7264.9669999999987</v>
      </c>
    </row>
    <row r="8" spans="1:13">
      <c r="A8" s="3"/>
      <c r="B8" s="3"/>
      <c r="C8" s="3"/>
      <c r="D8" s="5">
        <f>D7+0.5</f>
        <v>2</v>
      </c>
      <c r="E8" s="3">
        <f t="shared" si="0"/>
        <v>363.24834999999996</v>
      </c>
      <c r="F8" s="3">
        <f>F7</f>
        <v>2667.76</v>
      </c>
      <c r="G8" s="3">
        <f t="shared" si="1"/>
        <v>4960.4553499999984</v>
      </c>
    </row>
    <row r="9" spans="1:13">
      <c r="A9" s="3"/>
      <c r="B9" s="3"/>
      <c r="C9" s="3"/>
      <c r="D9" s="5">
        <f>D8+0.5</f>
        <v>2.5</v>
      </c>
      <c r="E9" s="3">
        <f t="shared" si="0"/>
        <v>248.02276749999993</v>
      </c>
      <c r="F9" s="3">
        <f>F8</f>
        <v>2667.76</v>
      </c>
      <c r="G9" s="3">
        <f t="shared" si="1"/>
        <v>2540.7181174999978</v>
      </c>
    </row>
    <row r="10" spans="1:13">
      <c r="A10" s="3"/>
      <c r="B10" s="3"/>
      <c r="C10" s="3"/>
      <c r="D10" s="5">
        <f>D9+0.5</f>
        <v>3</v>
      </c>
      <c r="E10" s="3">
        <f t="shared" si="0"/>
        <v>127.0359058749999</v>
      </c>
      <c r="F10" s="3">
        <f>F9</f>
        <v>2667.76</v>
      </c>
      <c r="G10" s="3">
        <f t="shared" si="1"/>
        <v>-5.9766250024040346E-3</v>
      </c>
    </row>
    <row r="11" spans="1:13">
      <c r="A11" s="3"/>
      <c r="B11" s="3"/>
      <c r="C11" s="3"/>
      <c r="D11" s="3"/>
      <c r="E11" s="3"/>
      <c r="F11" s="3"/>
      <c r="G11" s="3"/>
    </row>
    <row r="12" spans="1:13" ht="28" customHeight="1">
      <c r="A12" s="22" t="s">
        <v>8</v>
      </c>
      <c r="B12" s="22"/>
      <c r="C12" s="22"/>
      <c r="D12" s="22"/>
      <c r="E12" s="22"/>
      <c r="F12" s="22"/>
      <c r="G12" s="22"/>
    </row>
    <row r="13" spans="1:13">
      <c r="A13" s="1" t="s">
        <v>9</v>
      </c>
    </row>
    <row r="15" spans="1:13" ht="30">
      <c r="A15" s="2" t="s">
        <v>1</v>
      </c>
      <c r="B15" s="2" t="s">
        <v>2</v>
      </c>
      <c r="C15" s="2" t="s">
        <v>5</v>
      </c>
      <c r="D15" s="2" t="s">
        <v>4</v>
      </c>
      <c r="E15" s="2" t="s">
        <v>3</v>
      </c>
      <c r="F15" s="2" t="s">
        <v>6</v>
      </c>
      <c r="G15" s="2" t="s">
        <v>7</v>
      </c>
    </row>
    <row r="16" spans="1:13">
      <c r="A16" s="3">
        <v>10000</v>
      </c>
      <c r="B16" s="3">
        <v>1000</v>
      </c>
      <c r="C16" s="4">
        <v>0.1</v>
      </c>
      <c r="D16" s="5">
        <v>0</v>
      </c>
      <c r="E16" s="3">
        <f>0</f>
        <v>0</v>
      </c>
      <c r="F16" s="3">
        <v>0</v>
      </c>
      <c r="G16" s="3">
        <f>SUM(A16:B16)</f>
        <v>11000</v>
      </c>
    </row>
    <row r="17" spans="1:7">
      <c r="A17" s="3"/>
      <c r="B17" s="3"/>
      <c r="C17" s="3"/>
      <c r="D17" s="5">
        <v>0.5</v>
      </c>
      <c r="E17" s="3">
        <f t="shared" ref="E17:E22" si="2">$C$16/2*G16</f>
        <v>550</v>
      </c>
      <c r="F17" s="3">
        <v>2167.19</v>
      </c>
      <c r="G17" s="3">
        <f t="shared" ref="G17:G22" si="3">G16+E17-F17</f>
        <v>9382.81</v>
      </c>
    </row>
    <row r="18" spans="1:7">
      <c r="A18" s="3"/>
      <c r="B18" s="3"/>
      <c r="C18" s="3"/>
      <c r="D18" s="5">
        <f>D17+0.5</f>
        <v>1</v>
      </c>
      <c r="E18" s="3">
        <f t="shared" si="2"/>
        <v>469.14049999999997</v>
      </c>
      <c r="F18" s="3">
        <f>F17</f>
        <v>2167.19</v>
      </c>
      <c r="G18" s="3">
        <f t="shared" si="3"/>
        <v>7684.7604999999985</v>
      </c>
    </row>
    <row r="19" spans="1:7">
      <c r="A19" s="3"/>
      <c r="B19" s="3"/>
      <c r="C19" s="3"/>
      <c r="D19" s="5">
        <f>D18+0.5</f>
        <v>1.5</v>
      </c>
      <c r="E19" s="3">
        <f t="shared" si="2"/>
        <v>384.23802499999994</v>
      </c>
      <c r="F19" s="3">
        <f>F18</f>
        <v>2167.19</v>
      </c>
      <c r="G19" s="3">
        <f t="shared" si="3"/>
        <v>5901.8085249999986</v>
      </c>
    </row>
    <row r="20" spans="1:7">
      <c r="A20" s="3"/>
      <c r="B20" s="3"/>
      <c r="C20" s="3"/>
      <c r="D20" s="5">
        <f>D19+0.5</f>
        <v>2</v>
      </c>
      <c r="E20" s="3">
        <f t="shared" si="2"/>
        <v>295.09042624999995</v>
      </c>
      <c r="F20" s="3">
        <f>F19</f>
        <v>2167.19</v>
      </c>
      <c r="G20" s="3">
        <f t="shared" si="3"/>
        <v>4029.7089512499983</v>
      </c>
    </row>
    <row r="21" spans="1:7">
      <c r="A21" s="3"/>
      <c r="B21" s="3"/>
      <c r="C21" s="3"/>
      <c r="D21" s="5">
        <f>D20+0.5</f>
        <v>2.5</v>
      </c>
      <c r="E21" s="3">
        <f t="shared" si="2"/>
        <v>201.48544756249993</v>
      </c>
      <c r="F21" s="3">
        <f>F20</f>
        <v>2167.19</v>
      </c>
      <c r="G21" s="3">
        <f t="shared" si="3"/>
        <v>2064.0043988124985</v>
      </c>
    </row>
    <row r="22" spans="1:7">
      <c r="A22" s="3"/>
      <c r="B22" s="3"/>
      <c r="C22" s="3"/>
      <c r="D22" s="5">
        <f>D21+0.5</f>
        <v>3</v>
      </c>
      <c r="E22" s="3">
        <f t="shared" si="2"/>
        <v>103.20021994062493</v>
      </c>
      <c r="F22" s="3">
        <f>F21</f>
        <v>2167.19</v>
      </c>
      <c r="G22" s="3">
        <f t="shared" si="3"/>
        <v>1.4618753123158967E-2</v>
      </c>
    </row>
    <row r="23" spans="1:7">
      <c r="A23" s="1" t="s">
        <v>10</v>
      </c>
    </row>
    <row r="24" spans="1:7">
      <c r="F24" s="3">
        <f>PMT(C16/2,6,-G16)</f>
        <v>2167.1921492120709</v>
      </c>
    </row>
    <row r="26" spans="1:7" ht="43" customHeight="1">
      <c r="A26" s="22" t="s">
        <v>11</v>
      </c>
      <c r="B26" s="22"/>
      <c r="C26" s="22"/>
      <c r="D26" s="22"/>
      <c r="E26" s="22"/>
      <c r="F26" s="22"/>
      <c r="G26" s="22"/>
    </row>
    <row r="28" spans="1:7" ht="30">
      <c r="A28" s="2" t="s">
        <v>1</v>
      </c>
      <c r="B28" s="2" t="s">
        <v>2</v>
      </c>
      <c r="C28" s="2" t="s">
        <v>5</v>
      </c>
      <c r="D28" s="2" t="s">
        <v>4</v>
      </c>
      <c r="E28" s="2" t="s">
        <v>3</v>
      </c>
      <c r="F28" s="2" t="s">
        <v>6</v>
      </c>
      <c r="G28" s="2" t="s">
        <v>7</v>
      </c>
    </row>
    <row r="29" spans="1:7">
      <c r="A29" s="3">
        <v>10000</v>
      </c>
      <c r="B29" s="3">
        <v>1000</v>
      </c>
      <c r="C29" s="4">
        <v>0.1</v>
      </c>
      <c r="D29" s="5">
        <v>0</v>
      </c>
      <c r="E29" s="3">
        <f>0</f>
        <v>0</v>
      </c>
      <c r="F29" s="3">
        <v>0</v>
      </c>
      <c r="G29" s="3">
        <f>SUM(A29:B29)</f>
        <v>11000</v>
      </c>
    </row>
    <row r="30" spans="1:7">
      <c r="A30" s="3"/>
      <c r="B30" s="3"/>
      <c r="C30" s="3"/>
      <c r="D30" s="5">
        <v>0.5</v>
      </c>
      <c r="E30" s="3">
        <f t="shared" ref="E30:E35" si="4">$C$29/2*G29</f>
        <v>550</v>
      </c>
      <c r="F30" s="3">
        <v>0</v>
      </c>
      <c r="G30" s="3">
        <f t="shared" ref="G30:G35" si="5">G29+E30-F30</f>
        <v>11550</v>
      </c>
    </row>
    <row r="31" spans="1:7">
      <c r="A31" s="3"/>
      <c r="B31" s="3"/>
      <c r="C31" s="3"/>
      <c r="D31" s="5">
        <f>D30+0.5</f>
        <v>1</v>
      </c>
      <c r="E31" s="3">
        <f t="shared" si="4"/>
        <v>577.5</v>
      </c>
      <c r="F31" s="9">
        <v>2667.7589183804153</v>
      </c>
      <c r="G31" s="3">
        <f t="shared" si="5"/>
        <v>9459.7410816195843</v>
      </c>
    </row>
    <row r="32" spans="1:7">
      <c r="A32" s="3"/>
      <c r="B32" s="3"/>
      <c r="C32" s="3"/>
      <c r="D32" s="5">
        <f>D31+0.5</f>
        <v>1.5</v>
      </c>
      <c r="E32" s="3">
        <f t="shared" si="4"/>
        <v>472.98705408097925</v>
      </c>
      <c r="F32" s="3">
        <f>F31</f>
        <v>2667.7589183804153</v>
      </c>
      <c r="G32" s="3">
        <f t="shared" si="5"/>
        <v>7264.9692173201474</v>
      </c>
    </row>
    <row r="33" spans="1:7">
      <c r="A33" s="3"/>
      <c r="B33" s="3"/>
      <c r="C33" s="3"/>
      <c r="D33" s="5">
        <f>D32+0.5</f>
        <v>2</v>
      </c>
      <c r="E33" s="3">
        <f t="shared" si="4"/>
        <v>363.24846086600741</v>
      </c>
      <c r="F33" s="3">
        <f>F32</f>
        <v>2667.7589183804153</v>
      </c>
      <c r="G33" s="3">
        <f t="shared" si="5"/>
        <v>4960.4587598057387</v>
      </c>
    </row>
    <row r="34" spans="1:7">
      <c r="A34" s="3"/>
      <c r="B34" s="3"/>
      <c r="C34" s="3"/>
      <c r="D34" s="5">
        <f>D33+0.5</f>
        <v>2.5</v>
      </c>
      <c r="E34" s="3">
        <f t="shared" si="4"/>
        <v>248.02293799028695</v>
      </c>
      <c r="F34" s="3">
        <f>F33</f>
        <v>2667.7589183804153</v>
      </c>
      <c r="G34" s="3">
        <f t="shared" si="5"/>
        <v>2540.7227794156101</v>
      </c>
    </row>
    <row r="35" spans="1:7">
      <c r="A35" s="3"/>
      <c r="B35" s="3"/>
      <c r="C35" s="3"/>
      <c r="D35" s="5">
        <f>D34+0.5</f>
        <v>3</v>
      </c>
      <c r="E35" s="3">
        <f t="shared" si="4"/>
        <v>127.03613897078051</v>
      </c>
      <c r="F35" s="3">
        <f>F34</f>
        <v>2667.7589183804153</v>
      </c>
      <c r="G35" s="9">
        <f t="shared" si="5"/>
        <v>5.9753801906481385E-9</v>
      </c>
    </row>
    <row r="36" spans="1:7">
      <c r="A36" s="1" t="s">
        <v>10</v>
      </c>
    </row>
    <row r="37" spans="1:7">
      <c r="F37" s="3">
        <f>PMT(C29/2,5,-G30)</f>
        <v>2667.7589183814966</v>
      </c>
    </row>
    <row r="39" spans="1:7" ht="30" customHeight="1">
      <c r="A39" s="22" t="s">
        <v>12</v>
      </c>
      <c r="B39" s="22"/>
      <c r="C39" s="22"/>
      <c r="D39" s="22"/>
      <c r="E39" s="22"/>
      <c r="F39" s="22"/>
      <c r="G39" s="22"/>
    </row>
    <row r="40" spans="1:7" ht="60" customHeight="1">
      <c r="A40" s="22" t="s">
        <v>13</v>
      </c>
      <c r="B40" s="22"/>
      <c r="C40" s="22"/>
      <c r="D40" s="22"/>
      <c r="E40" s="22"/>
      <c r="F40" s="22"/>
      <c r="G40" s="22"/>
    </row>
    <row r="42" spans="1:7">
      <c r="A42" s="21" t="s">
        <v>14</v>
      </c>
      <c r="B42" s="21"/>
      <c r="C42" s="21"/>
      <c r="D42" s="21"/>
      <c r="E42" s="3">
        <f>SUM(E30:E35)</f>
        <v>2338.7945919080544</v>
      </c>
    </row>
    <row r="43" spans="1:7" ht="28" customHeight="1">
      <c r="A43" s="22" t="s">
        <v>16</v>
      </c>
      <c r="B43" s="22"/>
      <c r="C43" s="22"/>
      <c r="D43" s="22"/>
      <c r="E43" s="22"/>
      <c r="F43" s="22"/>
      <c r="G43" s="22"/>
    </row>
    <row r="44" spans="1:7" ht="30">
      <c r="A44" s="2" t="s">
        <v>1</v>
      </c>
      <c r="B44" s="2" t="s">
        <v>2</v>
      </c>
      <c r="C44" s="2" t="s">
        <v>5</v>
      </c>
      <c r="D44" s="2" t="s">
        <v>4</v>
      </c>
      <c r="E44" s="2" t="s">
        <v>3</v>
      </c>
      <c r="F44" s="2" t="s">
        <v>6</v>
      </c>
      <c r="G44" s="2" t="s">
        <v>7</v>
      </c>
    </row>
    <row r="45" spans="1:7">
      <c r="A45" s="3">
        <v>10000</v>
      </c>
      <c r="B45" s="3">
        <v>1000</v>
      </c>
      <c r="C45" s="4">
        <v>0.11600000000000001</v>
      </c>
      <c r="D45" s="5">
        <v>0</v>
      </c>
      <c r="E45" s="3"/>
      <c r="F45" s="3">
        <v>0</v>
      </c>
      <c r="G45" s="3">
        <f>SUM(A45:B45)</f>
        <v>11000</v>
      </c>
    </row>
    <row r="46" spans="1:7">
      <c r="A46" s="3"/>
      <c r="B46" s="3"/>
      <c r="C46" s="3"/>
      <c r="D46" s="5">
        <v>0.5</v>
      </c>
      <c r="E46" s="3">
        <f t="shared" ref="E46:E51" si="6">$C$45/2*G45</f>
        <v>638</v>
      </c>
      <c r="F46" s="3">
        <v>2223</v>
      </c>
      <c r="G46" s="3">
        <f t="shared" ref="G46:G51" si="7">G45+E46-F46</f>
        <v>9415</v>
      </c>
    </row>
    <row r="47" spans="1:7">
      <c r="A47" s="3"/>
      <c r="B47" s="3"/>
      <c r="C47" s="3"/>
      <c r="D47" s="5">
        <f>D46+0.5</f>
        <v>1</v>
      </c>
      <c r="E47" s="3">
        <f t="shared" si="6"/>
        <v>546.07000000000005</v>
      </c>
      <c r="F47" s="11">
        <f>F46</f>
        <v>2223</v>
      </c>
      <c r="G47" s="11">
        <f t="shared" si="7"/>
        <v>7738.07</v>
      </c>
    </row>
    <row r="48" spans="1:7">
      <c r="A48" s="3"/>
      <c r="B48" s="3"/>
      <c r="C48" s="3"/>
      <c r="D48" s="5">
        <f>D47+0.5</f>
        <v>1.5</v>
      </c>
      <c r="E48" s="3">
        <f t="shared" si="6"/>
        <v>448.80806000000001</v>
      </c>
      <c r="F48" s="11">
        <f>F47</f>
        <v>2223</v>
      </c>
      <c r="G48" s="11">
        <f t="shared" si="7"/>
        <v>5963.87806</v>
      </c>
    </row>
    <row r="49" spans="1:7">
      <c r="A49" s="3"/>
      <c r="B49" s="3"/>
      <c r="C49" s="3"/>
      <c r="D49" s="5">
        <f>D48+0.5</f>
        <v>2</v>
      </c>
      <c r="E49" s="3">
        <f t="shared" si="6"/>
        <v>345.90492748000003</v>
      </c>
      <c r="F49" s="11">
        <f>F48</f>
        <v>2223</v>
      </c>
      <c r="G49" s="11">
        <f t="shared" si="7"/>
        <v>4086.78298748</v>
      </c>
    </row>
    <row r="50" spans="1:7">
      <c r="A50" s="3"/>
      <c r="B50" s="3"/>
      <c r="C50" s="3"/>
      <c r="D50" s="5">
        <f>D49+0.5</f>
        <v>2.5</v>
      </c>
      <c r="E50" s="3">
        <f t="shared" si="6"/>
        <v>237.03341327384001</v>
      </c>
      <c r="F50" s="11">
        <f>F49</f>
        <v>2223</v>
      </c>
      <c r="G50" s="11">
        <f t="shared" si="7"/>
        <v>2100.8164007538398</v>
      </c>
    </row>
    <row r="51" spans="1:7">
      <c r="A51" s="3"/>
      <c r="B51" s="3"/>
      <c r="C51" s="3"/>
      <c r="D51" s="5">
        <f>D50+0.5</f>
        <v>3</v>
      </c>
      <c r="E51" s="3">
        <f t="shared" si="6"/>
        <v>121.84735124372271</v>
      </c>
      <c r="F51" s="11">
        <f>F50</f>
        <v>2223</v>
      </c>
      <c r="G51" s="11">
        <f t="shared" si="7"/>
        <v>-0.33624800243751451</v>
      </c>
    </row>
    <row r="52" spans="1:7">
      <c r="E52" s="3">
        <f>SUM(E46:E51)</f>
        <v>2337.6637519975629</v>
      </c>
    </row>
    <row r="53" spans="1:7">
      <c r="E53" s="3">
        <f>E52-E42</f>
        <v>-1.1308399104914315</v>
      </c>
    </row>
    <row r="54" spans="1:7">
      <c r="A54" s="1" t="s">
        <v>15</v>
      </c>
    </row>
    <row r="55" spans="1:7">
      <c r="C55" s="4">
        <f>C45</f>
        <v>0.11600000000000001</v>
      </c>
    </row>
    <row r="56" spans="1:7" ht="48" customHeight="1">
      <c r="A56" s="23" t="s">
        <v>23</v>
      </c>
      <c r="B56" s="23"/>
      <c r="C56" s="23"/>
      <c r="D56" s="23"/>
      <c r="E56" s="23"/>
      <c r="F56" s="23"/>
      <c r="G56" s="23"/>
    </row>
    <row r="57" spans="1:7" ht="32" customHeight="1">
      <c r="A57" s="22" t="s">
        <v>17</v>
      </c>
      <c r="B57" s="22"/>
      <c r="C57" s="22"/>
      <c r="D57" s="22"/>
      <c r="E57" s="22"/>
      <c r="F57" s="22"/>
      <c r="G57" s="22"/>
    </row>
    <row r="58" spans="1:7">
      <c r="C58" s="4">
        <f>EFFECT(C29/2, 6)*2</f>
        <v>0.10210662664032988</v>
      </c>
    </row>
    <row r="59" spans="1:7" ht="29" customHeight="1">
      <c r="A59" s="22" t="s">
        <v>18</v>
      </c>
      <c r="B59" s="22"/>
      <c r="C59" s="22"/>
      <c r="D59" s="22"/>
      <c r="E59" s="22"/>
      <c r="F59" s="22"/>
      <c r="G59" s="22"/>
    </row>
    <row r="61" spans="1:7" ht="29" customHeight="1">
      <c r="A61" s="22" t="s">
        <v>19</v>
      </c>
      <c r="B61" s="22"/>
      <c r="C61" s="22"/>
      <c r="D61" s="22"/>
      <c r="E61" s="22"/>
      <c r="F61" s="22"/>
      <c r="G61" s="22"/>
    </row>
    <row r="62" spans="1:7">
      <c r="A62" s="21" t="s">
        <v>20</v>
      </c>
      <c r="B62" s="21"/>
      <c r="C62" s="21"/>
      <c r="D62" s="21"/>
      <c r="E62" s="21"/>
      <c r="F62" s="3">
        <f>SUM(F29:F35)</f>
        <v>13338.794591902077</v>
      </c>
    </row>
    <row r="63" spans="1:7">
      <c r="A63" s="21" t="s">
        <v>21</v>
      </c>
      <c r="B63" s="21"/>
      <c r="C63" s="21"/>
      <c r="D63" s="21"/>
      <c r="E63" s="21"/>
      <c r="F63" s="4">
        <v>0.05</v>
      </c>
    </row>
    <row r="64" spans="1:7">
      <c r="A64" s="21" t="s">
        <v>22</v>
      </c>
      <c r="B64" s="21"/>
      <c r="C64" s="21"/>
      <c r="D64" s="21"/>
      <c r="E64" s="21"/>
      <c r="F64" s="3">
        <f>PV(F63/2,6,0,-F62)</f>
        <v>11502.000772288089</v>
      </c>
      <c r="G64" s="8"/>
    </row>
    <row r="65" spans="1:7" ht="49" customHeight="1">
      <c r="A65" s="22" t="s">
        <v>24</v>
      </c>
      <c r="B65" s="22"/>
      <c r="C65" s="22"/>
      <c r="D65" s="22"/>
      <c r="E65" s="22"/>
      <c r="F65" s="22"/>
      <c r="G65" s="22"/>
    </row>
    <row r="66" spans="1:7" ht="30">
      <c r="A66" s="2" t="s">
        <v>1</v>
      </c>
      <c r="B66" s="2" t="s">
        <v>2</v>
      </c>
      <c r="C66" s="2" t="s">
        <v>5</v>
      </c>
      <c r="D66" s="2" t="s">
        <v>4</v>
      </c>
      <c r="E66" s="2" t="s">
        <v>3</v>
      </c>
      <c r="F66" s="2" t="s">
        <v>6</v>
      </c>
      <c r="G66" s="2" t="s">
        <v>7</v>
      </c>
    </row>
    <row r="67" spans="1:7">
      <c r="A67" s="3">
        <v>11502.000028998857</v>
      </c>
      <c r="B67" s="3">
        <v>0</v>
      </c>
      <c r="C67" s="4">
        <v>0.05</v>
      </c>
      <c r="D67" s="5">
        <v>0</v>
      </c>
      <c r="E67" s="3"/>
      <c r="F67" s="3">
        <v>0</v>
      </c>
      <c r="G67" s="3">
        <f>SUM(A67:B67)</f>
        <v>11502.000028998857</v>
      </c>
    </row>
    <row r="68" spans="1:7">
      <c r="A68" s="3"/>
      <c r="B68" s="3"/>
      <c r="C68" s="3"/>
      <c r="D68" s="5">
        <v>0.5</v>
      </c>
      <c r="E68" s="3">
        <f t="shared" ref="E68:E73" si="8">$C$67/2*G67</f>
        <v>287.55000072497143</v>
      </c>
      <c r="F68" s="3">
        <v>0</v>
      </c>
      <c r="G68" s="3">
        <f t="shared" ref="G68:G73" si="9">G67+E68-F68</f>
        <v>11789.550029723829</v>
      </c>
    </row>
    <row r="69" spans="1:7">
      <c r="A69" s="3"/>
      <c r="B69" s="3"/>
      <c r="C69" s="3"/>
      <c r="D69" s="5">
        <f>D68+0.5</f>
        <v>1</v>
      </c>
      <c r="E69" s="3">
        <f t="shared" si="8"/>
        <v>294.73875074309575</v>
      </c>
      <c r="F69" s="11">
        <v>0</v>
      </c>
      <c r="G69" s="11">
        <f t="shared" si="9"/>
        <v>12084.288780466924</v>
      </c>
    </row>
    <row r="70" spans="1:7">
      <c r="A70" s="3"/>
      <c r="B70" s="3"/>
      <c r="C70" s="3"/>
      <c r="D70" s="5">
        <f>D69+0.5</f>
        <v>1.5</v>
      </c>
      <c r="E70" s="3">
        <f t="shared" si="8"/>
        <v>302.10721951167312</v>
      </c>
      <c r="F70" s="11">
        <f>F69</f>
        <v>0</v>
      </c>
      <c r="G70" s="11">
        <f t="shared" si="9"/>
        <v>12386.395999978598</v>
      </c>
    </row>
    <row r="71" spans="1:7">
      <c r="A71" s="3"/>
      <c r="B71" s="3"/>
      <c r="C71" s="3"/>
      <c r="D71" s="5">
        <f>D70+0.5</f>
        <v>2</v>
      </c>
      <c r="E71" s="3">
        <f t="shared" si="8"/>
        <v>309.65989999946498</v>
      </c>
      <c r="F71" s="11">
        <f>F70</f>
        <v>0</v>
      </c>
      <c r="G71" s="11">
        <f t="shared" si="9"/>
        <v>12696.055899978064</v>
      </c>
    </row>
    <row r="72" spans="1:7">
      <c r="A72" s="3"/>
      <c r="B72" s="3"/>
      <c r="C72" s="3"/>
      <c r="D72" s="5">
        <f>D71+0.5</f>
        <v>2.5</v>
      </c>
      <c r="E72" s="3">
        <f t="shared" si="8"/>
        <v>317.4013974994516</v>
      </c>
      <c r="F72" s="11">
        <f>F71</f>
        <v>0</v>
      </c>
      <c r="G72" s="11">
        <f t="shared" si="9"/>
        <v>13013.457297477516</v>
      </c>
    </row>
    <row r="73" spans="1:7">
      <c r="A73" s="3"/>
      <c r="B73" s="3"/>
      <c r="C73" s="3"/>
      <c r="D73" s="5">
        <f>D72+0.5</f>
        <v>3</v>
      </c>
      <c r="E73" s="3">
        <f t="shared" si="8"/>
        <v>325.33643243693791</v>
      </c>
      <c r="F73" s="11">
        <f>F72</f>
        <v>0</v>
      </c>
      <c r="G73" s="11">
        <f t="shared" si="9"/>
        <v>13338.793729914454</v>
      </c>
    </row>
    <row r="74" spans="1:7">
      <c r="E74" s="3">
        <f>SUM(E68:E73)</f>
        <v>1836.7937009155949</v>
      </c>
      <c r="F74" s="3">
        <f>SUM(F67:F73)</f>
        <v>0</v>
      </c>
      <c r="G74" s="3">
        <f>G73-F62</f>
        <v>-8.6198762255662587E-4</v>
      </c>
    </row>
    <row r="75" spans="1:7">
      <c r="E75" s="3"/>
    </row>
    <row r="76" spans="1:7">
      <c r="A76" s="1" t="s">
        <v>25</v>
      </c>
      <c r="G76" s="3">
        <f>FV(C67/2, 6,0,-11502)</f>
        <v>13338.793696284663</v>
      </c>
    </row>
  </sheetData>
  <mergeCells count="16">
    <mergeCell ref="A40:G40"/>
    <mergeCell ref="A1:G1"/>
    <mergeCell ref="A2:G2"/>
    <mergeCell ref="A12:G12"/>
    <mergeCell ref="A26:G26"/>
    <mergeCell ref="A39:G39"/>
    <mergeCell ref="A63:E63"/>
    <mergeCell ref="A64:E64"/>
    <mergeCell ref="A65:G65"/>
    <mergeCell ref="A56:G56"/>
    <mergeCell ref="A42:D42"/>
    <mergeCell ref="A43:G43"/>
    <mergeCell ref="A57:G57"/>
    <mergeCell ref="A59:G59"/>
    <mergeCell ref="A61:G61"/>
    <mergeCell ref="A62:E6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workbookViewId="0">
      <selection activeCell="B19" sqref="B19"/>
    </sheetView>
  </sheetViews>
  <sheetFormatPr baseColWidth="10" defaultRowHeight="15" x14ac:dyDescent="0"/>
  <cols>
    <col min="1" max="1" width="12.33203125" style="1" bestFit="1" customWidth="1"/>
    <col min="2" max="2" width="11.1640625" style="1" bestFit="1" customWidth="1"/>
    <col min="3" max="3" width="12.83203125" style="1" customWidth="1"/>
    <col min="4" max="4" width="13" style="1" customWidth="1"/>
    <col min="5" max="5" width="12.33203125" style="1" bestFit="1" customWidth="1"/>
    <col min="6" max="16384" width="10.83203125" style="1"/>
  </cols>
  <sheetData>
    <row r="1" spans="1:12" ht="61" customHeight="1">
      <c r="A1" s="25" t="s">
        <v>71</v>
      </c>
      <c r="B1" s="26"/>
      <c r="C1" s="26"/>
      <c r="D1" s="26"/>
      <c r="E1" s="26"/>
      <c r="F1" s="26"/>
      <c r="G1" s="26"/>
      <c r="H1" s="26"/>
      <c r="I1" s="26"/>
      <c r="J1" s="26"/>
      <c r="K1" s="26"/>
      <c r="L1" s="26"/>
    </row>
    <row r="2" spans="1:12">
      <c r="A2" s="25" t="s">
        <v>26</v>
      </c>
      <c r="B2" s="25"/>
      <c r="C2" s="25"/>
      <c r="D2" s="25"/>
      <c r="E2" s="25"/>
      <c r="F2" s="25"/>
      <c r="G2" s="25"/>
      <c r="H2" s="25"/>
      <c r="I2" s="25"/>
      <c r="J2" s="25"/>
      <c r="K2" s="25"/>
      <c r="L2" s="25"/>
    </row>
    <row r="3" spans="1:12" ht="30" customHeight="1">
      <c r="A3" s="25" t="s">
        <v>30</v>
      </c>
      <c r="B3" s="25"/>
      <c r="C3" s="25"/>
      <c r="D3" s="25"/>
      <c r="E3" s="25"/>
      <c r="F3" s="25"/>
      <c r="G3" s="25"/>
      <c r="H3" s="25"/>
      <c r="I3" s="25"/>
      <c r="J3" s="25"/>
      <c r="K3" s="25"/>
      <c r="L3" s="25"/>
    </row>
    <row r="4" spans="1:12">
      <c r="A4" s="25" t="s">
        <v>27</v>
      </c>
      <c r="B4" s="25"/>
      <c r="C4" s="25"/>
      <c r="D4" s="25"/>
      <c r="E4" s="25"/>
      <c r="F4" s="25"/>
      <c r="G4" s="25"/>
      <c r="H4" s="25"/>
      <c r="I4" s="25"/>
      <c r="J4" s="25"/>
      <c r="K4" s="25"/>
      <c r="L4" s="25"/>
    </row>
    <row r="5" spans="1:12">
      <c r="A5" s="25" t="s">
        <v>28</v>
      </c>
      <c r="B5" s="25"/>
      <c r="C5" s="25"/>
      <c r="D5" s="25"/>
      <c r="E5" s="25"/>
      <c r="F5" s="25"/>
      <c r="G5" s="25"/>
      <c r="H5" s="25"/>
      <c r="I5" s="25"/>
      <c r="J5" s="25"/>
      <c r="K5" s="25"/>
      <c r="L5" s="25"/>
    </row>
    <row r="6" spans="1:12">
      <c r="A6" s="25" t="s">
        <v>29</v>
      </c>
      <c r="B6" s="25"/>
      <c r="C6" s="25"/>
      <c r="D6" s="25"/>
      <c r="E6" s="25"/>
      <c r="F6" s="25"/>
      <c r="G6" s="25"/>
      <c r="H6" s="25"/>
      <c r="I6" s="25"/>
      <c r="J6" s="25"/>
      <c r="K6" s="25"/>
      <c r="L6" s="25"/>
    </row>
    <row r="8" spans="1:12" ht="45">
      <c r="A8" s="12" t="s">
        <v>31</v>
      </c>
      <c r="B8" s="12" t="s">
        <v>32</v>
      </c>
      <c r="C8" s="12" t="s">
        <v>36</v>
      </c>
      <c r="D8" s="12" t="s">
        <v>35</v>
      </c>
      <c r="E8" s="12" t="s">
        <v>33</v>
      </c>
      <c r="F8" s="12" t="s">
        <v>5</v>
      </c>
      <c r="G8" s="12" t="s">
        <v>34</v>
      </c>
      <c r="H8" s="12"/>
    </row>
    <row r="9" spans="1:12">
      <c r="A9" s="3">
        <v>270000</v>
      </c>
      <c r="B9" s="3">
        <f>A9*0.05</f>
        <v>13500</v>
      </c>
      <c r="C9" s="3">
        <f>A9-B9</f>
        <v>256500</v>
      </c>
      <c r="D9" s="3">
        <f>3500+0.02*C9</f>
        <v>8630</v>
      </c>
      <c r="E9" s="3">
        <f>C9+D9</f>
        <v>265130</v>
      </c>
      <c r="F9" s="4">
        <v>7.4999999999999997E-2</v>
      </c>
      <c r="G9" s="3">
        <f>PMT(F9/12,30*12,-E9)</f>
        <v>1853.8274265259834</v>
      </c>
    </row>
    <row r="11" spans="1:12">
      <c r="A11" s="1" t="s">
        <v>37</v>
      </c>
    </row>
    <row r="12" spans="1:12">
      <c r="A12" s="1" t="s">
        <v>38</v>
      </c>
    </row>
    <row r="13" spans="1:12">
      <c r="A13" s="1" t="s">
        <v>39</v>
      </c>
    </row>
    <row r="14" spans="1:12">
      <c r="A14" s="1" t="s">
        <v>40</v>
      </c>
      <c r="D14" s="4">
        <f>RATE(30*12,-G9,E9)*12</f>
        <v>7.4999999999999706E-2</v>
      </c>
    </row>
    <row r="15" spans="1:12">
      <c r="B15" s="10" t="s">
        <v>77</v>
      </c>
      <c r="C15" s="1">
        <f>12*30</f>
        <v>360</v>
      </c>
      <c r="D15" s="4"/>
    </row>
    <row r="16" spans="1:12">
      <c r="B16" s="10" t="s">
        <v>78</v>
      </c>
      <c r="C16" s="3">
        <f>-1*G9</f>
        <v>-1853.8274265259834</v>
      </c>
      <c r="D16" s="4"/>
    </row>
    <row r="17" spans="1:4">
      <c r="B17" s="10" t="s">
        <v>79</v>
      </c>
      <c r="C17" s="3">
        <f>E9</f>
        <v>265130</v>
      </c>
      <c r="D17" s="4"/>
    </row>
    <row r="18" spans="1:4">
      <c r="B18" s="10" t="s">
        <v>80</v>
      </c>
      <c r="C18" s="1">
        <v>0</v>
      </c>
    </row>
    <row r="19" spans="1:4">
      <c r="B19" s="10" t="s">
        <v>75</v>
      </c>
      <c r="C19" s="4">
        <f>RATE(C15,C16,C17,C18)*12</f>
        <v>7.4999999999999706E-2</v>
      </c>
      <c r="D19" s="4" t="s">
        <v>74</v>
      </c>
    </row>
    <row r="20" spans="1:4">
      <c r="B20" s="10" t="s">
        <v>76</v>
      </c>
      <c r="C20" s="4">
        <f>RATE(C15,C16,C9,C18)*12</f>
        <v>7.8414165810662712E-2</v>
      </c>
    </row>
    <row r="21" spans="1:4">
      <c r="B21" s="10"/>
      <c r="C21" s="4"/>
    </row>
    <row r="22" spans="1:4">
      <c r="A22" s="13" t="s">
        <v>41</v>
      </c>
    </row>
  </sheetData>
  <mergeCells count="6">
    <mergeCell ref="A6:L6"/>
    <mergeCell ref="A1:L1"/>
    <mergeCell ref="A2:L2"/>
    <mergeCell ref="A3:L3"/>
    <mergeCell ref="A4:L4"/>
    <mergeCell ref="A5:L5"/>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2" workbookViewId="0"/>
  </sheetViews>
  <sheetFormatPr baseColWidth="10" defaultColWidth="8.83203125" defaultRowHeight="12" x14ac:dyDescent="0"/>
  <cols>
    <col min="1" max="1" width="14.5" style="14" bestFit="1" customWidth="1"/>
    <col min="2" max="2" width="16.6640625" style="14" customWidth="1"/>
    <col min="3" max="3" width="11.6640625" style="15" bestFit="1" customWidth="1"/>
    <col min="4" max="16384" width="8.83203125" style="15"/>
  </cols>
  <sheetData>
    <row r="1" spans="1:4">
      <c r="A1" s="20" t="s">
        <v>73</v>
      </c>
    </row>
    <row r="3" spans="1:4">
      <c r="B3" s="14" t="s">
        <v>42</v>
      </c>
      <c r="C3" s="16">
        <v>600000</v>
      </c>
    </row>
    <row r="4" spans="1:4">
      <c r="B4" s="14" t="s">
        <v>43</v>
      </c>
      <c r="C4" s="17">
        <v>6.9931999999999994E-2</v>
      </c>
      <c r="D4" s="15" t="s">
        <v>44</v>
      </c>
    </row>
    <row r="5" spans="1:4">
      <c r="B5" s="14" t="s">
        <v>45</v>
      </c>
      <c r="C5" s="15">
        <v>360</v>
      </c>
      <c r="D5" s="15" t="s">
        <v>46</v>
      </c>
    </row>
    <row r="6" spans="1:4">
      <c r="B6" s="14" t="s">
        <v>47</v>
      </c>
      <c r="C6" s="15">
        <v>12</v>
      </c>
      <c r="D6" s="15" t="s">
        <v>48</v>
      </c>
    </row>
    <row r="8" spans="1:4">
      <c r="A8" s="14" t="s">
        <v>49</v>
      </c>
      <c r="B8" s="14" t="s">
        <v>50</v>
      </c>
      <c r="C8" s="16">
        <f>C3*0.006648459</f>
        <v>3989.0753999999997</v>
      </c>
      <c r="D8" s="15" t="s">
        <v>51</v>
      </c>
    </row>
    <row r="9" spans="1:4">
      <c r="D9" s="15" t="s">
        <v>52</v>
      </c>
    </row>
    <row r="10" spans="1:4">
      <c r="B10" s="14" t="s">
        <v>50</v>
      </c>
      <c r="C10" s="18">
        <f>PMT(C4/C6,C5,-C3)</f>
        <v>3989.0752329039396</v>
      </c>
      <c r="D10" s="15" t="s">
        <v>53</v>
      </c>
    </row>
    <row r="11" spans="1:4">
      <c r="D11" s="15" t="s">
        <v>54</v>
      </c>
    </row>
    <row r="13" spans="1:4">
      <c r="B13" s="15" t="s">
        <v>55</v>
      </c>
    </row>
    <row r="14" spans="1:4">
      <c r="B14" s="15"/>
    </row>
    <row r="15" spans="1:4">
      <c r="A15" s="14" t="s">
        <v>56</v>
      </c>
      <c r="B15" s="15" t="s">
        <v>57</v>
      </c>
    </row>
    <row r="16" spans="1:4">
      <c r="C16" s="18"/>
    </row>
    <row r="17" spans="1:4">
      <c r="B17" s="14" t="s">
        <v>58</v>
      </c>
      <c r="C17" s="16">
        <f>C8*129.050438898</f>
        <v>514791.93116721493</v>
      </c>
      <c r="D17" s="15" t="s">
        <v>51</v>
      </c>
    </row>
    <row r="18" spans="1:4">
      <c r="C18" s="18"/>
      <c r="D18" s="19" t="s">
        <v>59</v>
      </c>
    </row>
    <row r="19" spans="1:4">
      <c r="B19" s="14" t="s">
        <v>58</v>
      </c>
      <c r="C19" s="18">
        <f>PV(C4/C6,240,-C10)</f>
        <v>514791.90976230346</v>
      </c>
      <c r="D19" s="15" t="s">
        <v>53</v>
      </c>
    </row>
    <row r="20" spans="1:4">
      <c r="A20" s="15"/>
      <c r="D20" s="15" t="s">
        <v>60</v>
      </c>
    </row>
    <row r="22" spans="1:4">
      <c r="A22" s="14" t="s">
        <v>61</v>
      </c>
      <c r="B22" s="14" t="s">
        <v>62</v>
      </c>
      <c r="C22" s="17">
        <f>EFFECT(C4,C6)</f>
        <v>7.2217590251912211E-2</v>
      </c>
      <c r="D22" s="15" t="s">
        <v>63</v>
      </c>
    </row>
    <row r="23" spans="1:4">
      <c r="C23" s="17"/>
    </row>
    <row r="24" spans="1:4">
      <c r="B24" s="14" t="s">
        <v>62</v>
      </c>
      <c r="C24" s="17">
        <f>(1+RATE(C5,-C10,C3))^C6-1</f>
        <v>7.2217590251914876E-2</v>
      </c>
      <c r="D24" s="15" t="s">
        <v>64</v>
      </c>
    </row>
    <row r="26" spans="1:4">
      <c r="A26" s="14" t="s">
        <v>65</v>
      </c>
      <c r="B26" s="20" t="s">
        <v>66</v>
      </c>
    </row>
    <row r="28" spans="1:4">
      <c r="B28" s="14" t="s">
        <v>50</v>
      </c>
      <c r="C28" s="18">
        <f>C10</f>
        <v>3989.0752329039396</v>
      </c>
    </row>
    <row r="30" spans="1:4">
      <c r="B30" s="14" t="s">
        <v>67</v>
      </c>
      <c r="C30" s="17">
        <f>RATE(C5,-C28,C3)*C6</f>
        <v>6.9932000000000411E-2</v>
      </c>
      <c r="D30" s="15" t="s">
        <v>68</v>
      </c>
    </row>
    <row r="31" spans="1:4">
      <c r="C31" s="17"/>
    </row>
    <row r="32" spans="1:4">
      <c r="B32" s="15" t="s">
        <v>55</v>
      </c>
      <c r="C32" s="17"/>
    </row>
    <row r="33" spans="1:3">
      <c r="B33" s="15"/>
      <c r="C33" s="17"/>
    </row>
    <row r="34" spans="1:3">
      <c r="A34" s="20" t="s">
        <v>69</v>
      </c>
      <c r="B34" s="15"/>
      <c r="C34" s="17"/>
    </row>
    <row r="35" spans="1:3">
      <c r="B35" s="15"/>
      <c r="C35" s="17"/>
    </row>
    <row r="36" spans="1:3">
      <c r="B36" s="15"/>
      <c r="C36" s="17"/>
    </row>
    <row r="37" spans="1:3">
      <c r="B37" s="15"/>
      <c r="C37" s="17"/>
    </row>
    <row r="69" spans="1:1" s="15" customFormat="1">
      <c r="A69" s="20" t="s">
        <v>70</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 1</vt:lpstr>
      <vt:lpstr>Prob. 2</vt:lpstr>
      <vt:lpstr>Prob. 3</vt:lpstr>
    </vt:vector>
  </TitlesOfParts>
  <Company>Temple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Picone</dc:creator>
  <cp:lastModifiedBy>Joseph Picone</cp:lastModifiedBy>
  <dcterms:created xsi:type="dcterms:W3CDTF">2013-02-23T04:11:53Z</dcterms:created>
  <dcterms:modified xsi:type="dcterms:W3CDTF">2013-03-02T21:01:33Z</dcterms:modified>
</cp:coreProperties>
</file>