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showInkAnnotation="0" autoCompressPictures="0"/>
  <bookViews>
    <workbookView xWindow="0" yWindow="0" windowWidth="25600" windowHeight="15740" tabRatio="500" activeTab="2"/>
  </bookViews>
  <sheets>
    <sheet name="Prob 8.64" sheetId="1" r:id="rId1"/>
    <sheet name="Prob 9.30" sheetId="2" r:id="rId2"/>
    <sheet name="Prob 10.41" sheetId="3" r:id="rId3"/>
    <sheet name="Prob 12.34" sheetId="5" r:id="rId4"/>
    <sheet name="Prob 13.21" sheetId="4" r:id="rId5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987654321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100000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electedCell">"$J$20"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FALSE</definedName>
    <definedName name="solver_adj" localSheetId="0" hidden="1">'Prob 8.64'!$C$115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'Prob 8.64'!$C$116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5" l="1"/>
  <c r="I13" i="5"/>
  <c r="D14" i="5"/>
  <c r="E14" i="5"/>
  <c r="F14" i="5"/>
  <c r="H14" i="5"/>
  <c r="I14" i="5"/>
  <c r="K14" i="5"/>
  <c r="D15" i="5"/>
  <c r="E15" i="5"/>
  <c r="F15" i="5"/>
  <c r="H15" i="5"/>
  <c r="I15" i="5"/>
  <c r="K15" i="5"/>
  <c r="D16" i="5"/>
  <c r="E16" i="5"/>
  <c r="F16" i="5"/>
  <c r="H16" i="5"/>
  <c r="I16" i="5"/>
  <c r="K16" i="5"/>
  <c r="D17" i="5"/>
  <c r="E17" i="5"/>
  <c r="F17" i="5"/>
  <c r="G17" i="5"/>
  <c r="H17" i="5"/>
  <c r="I17" i="5"/>
  <c r="J17" i="5"/>
  <c r="K17" i="5"/>
  <c r="L17" i="5"/>
  <c r="I19" i="5"/>
  <c r="D20" i="5"/>
  <c r="E20" i="5"/>
  <c r="F20" i="5"/>
  <c r="G20" i="5"/>
  <c r="H20" i="5"/>
  <c r="I20" i="5"/>
  <c r="K20" i="5"/>
  <c r="D21" i="5"/>
  <c r="E21" i="5"/>
  <c r="F21" i="5"/>
  <c r="G21" i="5"/>
  <c r="H21" i="5"/>
  <c r="I21" i="5"/>
  <c r="K21" i="5"/>
  <c r="D22" i="5"/>
  <c r="E22" i="5"/>
  <c r="F22" i="5"/>
  <c r="G22" i="5"/>
  <c r="H22" i="5"/>
  <c r="I22" i="5"/>
  <c r="K22" i="5"/>
  <c r="D23" i="5"/>
  <c r="E23" i="5"/>
  <c r="F23" i="5"/>
  <c r="G23" i="5"/>
  <c r="H23" i="5"/>
  <c r="I23" i="5"/>
  <c r="J23" i="5"/>
  <c r="K23" i="5"/>
  <c r="L23" i="5"/>
  <c r="I25" i="5"/>
  <c r="D26" i="5"/>
  <c r="E26" i="5"/>
  <c r="F26" i="5"/>
  <c r="G26" i="5"/>
  <c r="H26" i="5"/>
  <c r="I26" i="5"/>
  <c r="K26" i="5"/>
  <c r="D27" i="5"/>
  <c r="E27" i="5"/>
  <c r="F27" i="5"/>
  <c r="G27" i="5"/>
  <c r="H27" i="5"/>
  <c r="I27" i="5"/>
  <c r="K27" i="5"/>
  <c r="D28" i="5"/>
  <c r="E28" i="5"/>
  <c r="F28" i="5"/>
  <c r="G28" i="5"/>
  <c r="H28" i="5"/>
  <c r="I28" i="5"/>
  <c r="K28" i="5"/>
  <c r="D29" i="5"/>
  <c r="E29" i="5"/>
  <c r="F29" i="5"/>
  <c r="G29" i="5"/>
  <c r="H29" i="5"/>
  <c r="I29" i="5"/>
  <c r="J29" i="5"/>
  <c r="K29" i="5"/>
  <c r="L29" i="5"/>
  <c r="I31" i="5"/>
  <c r="D32" i="5"/>
  <c r="E32" i="5"/>
  <c r="H32" i="5"/>
  <c r="I32" i="5"/>
  <c r="K32" i="5"/>
  <c r="D33" i="5"/>
  <c r="E33" i="5"/>
  <c r="H33" i="5"/>
  <c r="I33" i="5"/>
  <c r="K33" i="5"/>
  <c r="D34" i="5"/>
  <c r="E34" i="5"/>
  <c r="H34" i="5"/>
  <c r="I34" i="5"/>
  <c r="K34" i="5"/>
  <c r="D35" i="5"/>
  <c r="E35" i="5"/>
  <c r="G35" i="5"/>
  <c r="F35" i="5"/>
  <c r="H35" i="5"/>
  <c r="I35" i="5"/>
  <c r="J35" i="5"/>
  <c r="K35" i="5"/>
  <c r="L35" i="5"/>
  <c r="C29" i="4"/>
  <c r="D29" i="4"/>
  <c r="E29" i="4"/>
  <c r="B30" i="4"/>
  <c r="C30" i="4"/>
  <c r="D30" i="4"/>
  <c r="E30" i="4"/>
  <c r="B31" i="4"/>
  <c r="C31" i="4"/>
  <c r="D31" i="4"/>
  <c r="E31" i="4"/>
  <c r="B32" i="4"/>
  <c r="C32" i="4"/>
  <c r="D32" i="4"/>
  <c r="E32" i="4"/>
  <c r="B33" i="4"/>
  <c r="C33" i="4"/>
  <c r="D33" i="4"/>
  <c r="E33" i="4"/>
  <c r="B34" i="4"/>
  <c r="C34" i="4"/>
  <c r="D34" i="4"/>
  <c r="E34" i="4"/>
  <c r="B35" i="4"/>
  <c r="C35" i="4"/>
  <c r="D35" i="4"/>
  <c r="E35" i="4"/>
  <c r="B36" i="4"/>
  <c r="C36" i="4"/>
  <c r="D36" i="4"/>
  <c r="E36" i="4"/>
  <c r="B37" i="4"/>
  <c r="C37" i="4"/>
  <c r="D37" i="4"/>
  <c r="E37" i="4"/>
  <c r="B38" i="4"/>
  <c r="C38" i="4"/>
  <c r="D38" i="4"/>
  <c r="E38" i="4"/>
  <c r="B39" i="4"/>
  <c r="C39" i="4"/>
  <c r="D39" i="4"/>
  <c r="E39" i="4"/>
  <c r="C9" i="3"/>
  <c r="D9" i="3"/>
  <c r="I9" i="3"/>
  <c r="J9" i="3"/>
  <c r="K9" i="3"/>
  <c r="L9" i="3"/>
  <c r="C10" i="3"/>
  <c r="E10" i="3"/>
  <c r="F10" i="3"/>
  <c r="G10" i="3"/>
  <c r="H10" i="3"/>
  <c r="I10" i="3"/>
  <c r="J10" i="3"/>
  <c r="K10" i="3"/>
  <c r="L10" i="3"/>
  <c r="C11" i="3"/>
  <c r="E11" i="3"/>
  <c r="F11" i="3"/>
  <c r="G11" i="3"/>
  <c r="H11" i="3"/>
  <c r="I11" i="3"/>
  <c r="J11" i="3"/>
  <c r="K11" i="3"/>
  <c r="L11" i="3"/>
  <c r="C12" i="3"/>
  <c r="E12" i="3"/>
  <c r="F12" i="3"/>
  <c r="G12" i="3"/>
  <c r="H12" i="3"/>
  <c r="I12" i="3"/>
  <c r="J12" i="3"/>
  <c r="K12" i="3"/>
  <c r="L12" i="3"/>
  <c r="C13" i="3"/>
  <c r="E13" i="3"/>
  <c r="F13" i="3"/>
  <c r="G13" i="3"/>
  <c r="H13" i="3"/>
  <c r="I13" i="3"/>
  <c r="J13" i="3"/>
  <c r="K13" i="3"/>
  <c r="L13" i="3"/>
  <c r="C14" i="3"/>
  <c r="E14" i="3"/>
  <c r="F14" i="3"/>
  <c r="G14" i="3"/>
  <c r="H14" i="3"/>
  <c r="I14" i="3"/>
  <c r="J14" i="3"/>
  <c r="K14" i="3"/>
  <c r="L14" i="3"/>
  <c r="C15" i="3"/>
  <c r="F15" i="3"/>
  <c r="G15" i="3"/>
  <c r="H15" i="3"/>
  <c r="I15" i="3"/>
  <c r="J15" i="3"/>
  <c r="K15" i="3"/>
  <c r="L15" i="3"/>
  <c r="C16" i="3"/>
  <c r="F16" i="3"/>
  <c r="G16" i="3"/>
  <c r="H16" i="3"/>
  <c r="I16" i="3"/>
  <c r="J16" i="3"/>
  <c r="K16" i="3"/>
  <c r="L16" i="3"/>
  <c r="C17" i="3"/>
  <c r="F17" i="3"/>
  <c r="F19" i="3"/>
  <c r="F21" i="3"/>
  <c r="G17" i="3"/>
  <c r="H17" i="3"/>
  <c r="I17" i="3"/>
  <c r="J17" i="3"/>
  <c r="K17" i="3"/>
  <c r="I18" i="3"/>
  <c r="L17" i="3"/>
  <c r="I19" i="3"/>
  <c r="I20" i="3"/>
  <c r="I21" i="3"/>
  <c r="I22" i="3"/>
  <c r="I23" i="3"/>
  <c r="C31" i="3"/>
  <c r="D31" i="3"/>
  <c r="I31" i="3"/>
  <c r="J31" i="3"/>
  <c r="K31" i="3"/>
  <c r="L31" i="3"/>
  <c r="C32" i="3"/>
  <c r="D32" i="3"/>
  <c r="E32" i="3"/>
  <c r="F32" i="3"/>
  <c r="G32" i="3"/>
  <c r="H32" i="3"/>
  <c r="I32" i="3"/>
  <c r="J32" i="3"/>
  <c r="K32" i="3"/>
  <c r="L32" i="3"/>
  <c r="C33" i="3"/>
  <c r="D33" i="3"/>
  <c r="E33" i="3"/>
  <c r="F33" i="3"/>
  <c r="G33" i="3"/>
  <c r="H33" i="3"/>
  <c r="I33" i="3"/>
  <c r="J33" i="3"/>
  <c r="K33" i="3"/>
  <c r="L33" i="3"/>
  <c r="C34" i="3"/>
  <c r="D34" i="3"/>
  <c r="E34" i="3"/>
  <c r="F34" i="3"/>
  <c r="G34" i="3"/>
  <c r="H34" i="3"/>
  <c r="I34" i="3"/>
  <c r="J34" i="3"/>
  <c r="K34" i="3"/>
  <c r="L34" i="3"/>
  <c r="C35" i="3"/>
  <c r="D35" i="3"/>
  <c r="E35" i="3"/>
  <c r="F35" i="3"/>
  <c r="G35" i="3"/>
  <c r="H35" i="3"/>
  <c r="I35" i="3"/>
  <c r="J35" i="3"/>
  <c r="K35" i="3"/>
  <c r="L35" i="3"/>
  <c r="C36" i="3"/>
  <c r="D36" i="3"/>
  <c r="E36" i="3"/>
  <c r="F36" i="3"/>
  <c r="G36" i="3"/>
  <c r="H36" i="3"/>
  <c r="I36" i="3"/>
  <c r="J36" i="3"/>
  <c r="K36" i="3"/>
  <c r="L36" i="3"/>
  <c r="C37" i="3"/>
  <c r="E37" i="3"/>
  <c r="F37" i="3"/>
  <c r="G37" i="3"/>
  <c r="H37" i="3"/>
  <c r="I37" i="3"/>
  <c r="J37" i="3"/>
  <c r="K37" i="3"/>
  <c r="L37" i="3"/>
  <c r="C38" i="3"/>
  <c r="F38" i="3"/>
  <c r="G38" i="3"/>
  <c r="H38" i="3"/>
  <c r="I38" i="3"/>
  <c r="J38" i="3"/>
  <c r="K38" i="3"/>
  <c r="L38" i="3"/>
  <c r="C39" i="3"/>
  <c r="F39" i="3"/>
  <c r="F41" i="3"/>
  <c r="F43" i="3"/>
  <c r="G39" i="3"/>
  <c r="H39" i="3"/>
  <c r="I39" i="3"/>
  <c r="J39" i="3"/>
  <c r="K39" i="3"/>
  <c r="I40" i="3"/>
  <c r="L39" i="3"/>
  <c r="I41" i="3"/>
  <c r="I42" i="3"/>
  <c r="I43" i="3"/>
  <c r="I44" i="3"/>
  <c r="I45" i="3"/>
  <c r="C53" i="3"/>
  <c r="D53" i="3"/>
  <c r="I53" i="3"/>
  <c r="J53" i="3"/>
  <c r="K53" i="3"/>
  <c r="L53" i="3"/>
  <c r="C54" i="3"/>
  <c r="D54" i="3"/>
  <c r="E54" i="3"/>
  <c r="F54" i="3"/>
  <c r="G54" i="3"/>
  <c r="H54" i="3"/>
  <c r="I54" i="3"/>
  <c r="J54" i="3"/>
  <c r="K54" i="3"/>
  <c r="L54" i="3"/>
  <c r="C55" i="3"/>
  <c r="D55" i="3"/>
  <c r="E55" i="3"/>
  <c r="F55" i="3"/>
  <c r="G55" i="3"/>
  <c r="H55" i="3"/>
  <c r="I55" i="3"/>
  <c r="J55" i="3"/>
  <c r="K55" i="3"/>
  <c r="L55" i="3"/>
  <c r="C56" i="3"/>
  <c r="D56" i="3"/>
  <c r="E56" i="3"/>
  <c r="F56" i="3"/>
  <c r="G56" i="3"/>
  <c r="H56" i="3"/>
  <c r="I56" i="3"/>
  <c r="J56" i="3"/>
  <c r="K56" i="3"/>
  <c r="L56" i="3"/>
  <c r="C57" i="3"/>
  <c r="D57" i="3"/>
  <c r="E57" i="3"/>
  <c r="F57" i="3"/>
  <c r="G57" i="3"/>
  <c r="H57" i="3"/>
  <c r="I57" i="3"/>
  <c r="J57" i="3"/>
  <c r="K57" i="3"/>
  <c r="L57" i="3"/>
  <c r="C58" i="3"/>
  <c r="D58" i="3"/>
  <c r="E58" i="3"/>
  <c r="F58" i="3"/>
  <c r="G58" i="3"/>
  <c r="H58" i="3"/>
  <c r="I58" i="3"/>
  <c r="J58" i="3"/>
  <c r="K58" i="3"/>
  <c r="L58" i="3"/>
  <c r="C59" i="3"/>
  <c r="F59" i="3"/>
  <c r="G59" i="3"/>
  <c r="H59" i="3"/>
  <c r="I59" i="3"/>
  <c r="J59" i="3"/>
  <c r="K59" i="3"/>
  <c r="L59" i="3"/>
  <c r="C60" i="3"/>
  <c r="F60" i="3"/>
  <c r="G60" i="3"/>
  <c r="H60" i="3"/>
  <c r="I60" i="3"/>
  <c r="J60" i="3"/>
  <c r="K60" i="3"/>
  <c r="L60" i="3"/>
  <c r="C61" i="3"/>
  <c r="F61" i="3"/>
  <c r="F63" i="3"/>
  <c r="F65" i="3"/>
  <c r="G61" i="3"/>
  <c r="H61" i="3"/>
  <c r="I61" i="3"/>
  <c r="J61" i="3"/>
  <c r="K61" i="3"/>
  <c r="I62" i="3"/>
  <c r="L61" i="3"/>
  <c r="I63" i="3"/>
  <c r="I64" i="3"/>
  <c r="I65" i="3"/>
  <c r="I66" i="3"/>
  <c r="I67" i="3"/>
  <c r="C75" i="3"/>
  <c r="D75" i="3"/>
  <c r="I75" i="3"/>
  <c r="J75" i="3"/>
  <c r="K75" i="3"/>
  <c r="L75" i="3"/>
  <c r="C76" i="3"/>
  <c r="F76" i="3"/>
  <c r="G76" i="3"/>
  <c r="H76" i="3"/>
  <c r="I76" i="3"/>
  <c r="J76" i="3"/>
  <c r="K76" i="3"/>
  <c r="L76" i="3"/>
  <c r="C77" i="3"/>
  <c r="F77" i="3"/>
  <c r="G77" i="3"/>
  <c r="H77" i="3"/>
  <c r="I77" i="3"/>
  <c r="J77" i="3"/>
  <c r="K77" i="3"/>
  <c r="L77" i="3"/>
  <c r="C78" i="3"/>
  <c r="F78" i="3"/>
  <c r="G78" i="3"/>
  <c r="H78" i="3"/>
  <c r="I78" i="3"/>
  <c r="J78" i="3"/>
  <c r="K78" i="3"/>
  <c r="L78" i="3"/>
  <c r="C79" i="3"/>
  <c r="F79" i="3"/>
  <c r="G79" i="3"/>
  <c r="H79" i="3"/>
  <c r="I79" i="3"/>
  <c r="J79" i="3"/>
  <c r="K79" i="3"/>
  <c r="L79" i="3"/>
  <c r="C80" i="3"/>
  <c r="E80" i="3"/>
  <c r="F80" i="3"/>
  <c r="G80" i="3"/>
  <c r="H80" i="3"/>
  <c r="I80" i="3"/>
  <c r="J80" i="3"/>
  <c r="K80" i="3"/>
  <c r="L80" i="3"/>
  <c r="C81" i="3"/>
  <c r="F81" i="3"/>
  <c r="G81" i="3"/>
  <c r="H81" i="3"/>
  <c r="I81" i="3"/>
  <c r="J81" i="3"/>
  <c r="K81" i="3"/>
  <c r="L81" i="3"/>
  <c r="C82" i="3"/>
  <c r="F82" i="3"/>
  <c r="G82" i="3"/>
  <c r="H82" i="3"/>
  <c r="I82" i="3"/>
  <c r="J82" i="3"/>
  <c r="K82" i="3"/>
  <c r="L82" i="3"/>
  <c r="C83" i="3"/>
  <c r="F83" i="3"/>
  <c r="F85" i="3"/>
  <c r="F87" i="3"/>
  <c r="G83" i="3"/>
  <c r="H83" i="3"/>
  <c r="I83" i="3"/>
  <c r="J83" i="3"/>
  <c r="K83" i="3"/>
  <c r="I84" i="3"/>
  <c r="L83" i="3"/>
  <c r="I85" i="3"/>
  <c r="I86" i="3"/>
  <c r="I87" i="3"/>
  <c r="I88" i="3"/>
  <c r="I89" i="3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9" i="2"/>
  <c r="D28" i="2"/>
  <c r="C29" i="2"/>
  <c r="D29" i="2"/>
  <c r="C30" i="2"/>
  <c r="D30" i="2"/>
  <c r="C31" i="2"/>
  <c r="D31" i="2"/>
  <c r="C33" i="2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C41" i="1"/>
  <c r="C44" i="1"/>
  <c r="C48" i="1"/>
  <c r="C50" i="1"/>
  <c r="C51" i="1"/>
  <c r="C55" i="1"/>
  <c r="C64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C102" i="1"/>
  <c r="C105" i="1"/>
  <c r="C109" i="1"/>
  <c r="C111" i="1"/>
  <c r="C112" i="1"/>
  <c r="C116" i="1"/>
  <c r="C125" i="1"/>
</calcChain>
</file>

<file path=xl/sharedStrings.xml><?xml version="1.0" encoding="utf-8"?>
<sst xmlns="http://schemas.openxmlformats.org/spreadsheetml/2006/main" count="326" uniqueCount="155">
  <si>
    <t>SINCE THERE ARE NO MORE CHALLENGERS, A IS RECOMMENDED.</t>
  </si>
  <si>
    <t>A REMAINS THE CURRENT BEST</t>
  </si>
  <si>
    <t>SINCE THE ERR OF THE INCREMENT (10.38%) IS LESS THAN MARR (12%) THE INCREMENTAL INVESTMENT IS REJECTED</t>
  </si>
  <si>
    <t>CLICK "SOLVE"</t>
  </si>
  <si>
    <t>C124</t>
  </si>
  <si>
    <t>BY CHANGING CELL:</t>
  </si>
  <si>
    <t>EQUAL TO: VALUE OF:</t>
  </si>
  <si>
    <t>C125</t>
  </si>
  <si>
    <t>SET TARGET CELL:</t>
  </si>
  <si>
    <t>SOLVER PARAMETERS</t>
  </si>
  <si>
    <t xml:space="preserve"> =FV(C124,20,,25000)+FV(12%,20,-2500)</t>
  </si>
  <si>
    <t xml:space="preserve">FV = </t>
  </si>
  <si>
    <t xml:space="preserve">i = </t>
  </si>
  <si>
    <t>SOLUTION USING EXCEL'S GOAL SEEK</t>
  </si>
  <si>
    <t>C115</t>
  </si>
  <si>
    <t>C116</t>
  </si>
  <si>
    <t xml:space="preserve"> =FV(C115,20,,25000)+FV(12%,20,-2500)</t>
  </si>
  <si>
    <t>SOLUTION USING EXCEL'S SOLVER</t>
  </si>
  <si>
    <t xml:space="preserve"> =B109+(B111-B109)*(C110-C109)/(C111-C109)</t>
  </si>
  <si>
    <t xml:space="preserve">ERR = </t>
  </si>
  <si>
    <t xml:space="preserve"> =FV(B111,20,,25000)+FV(12%,20,-2500)</t>
  </si>
  <si>
    <t>ERR</t>
  </si>
  <si>
    <t xml:space="preserve"> =FV(B109,20,,25000)+FV(12%,20,-2500)</t>
  </si>
  <si>
    <t>FV</t>
  </si>
  <si>
    <t>i%</t>
  </si>
  <si>
    <t>SOLUTION INTERPOLATING INTEREST TABLE RATES (WITH EXCEL'S FV FUNCTION)</t>
  </si>
  <si>
    <t xml:space="preserve"> =MIRR(E79:E99,,12%)</t>
  </si>
  <si>
    <t>SOLUTION USING EXCEL'S MIRR FUNCTION</t>
  </si>
  <si>
    <t xml:space="preserve"> =RATE(20,,-25000,FV(12%,20,-2500))</t>
  </si>
  <si>
    <t>SOLUTION USING EXCEL'S RATE AND FV FUNCTIONS</t>
  </si>
  <si>
    <t>NET CF</t>
  </si>
  <si>
    <t>+ CF</t>
  </si>
  <si>
    <t>- CF</t>
  </si>
  <si>
    <t>EOY</t>
  </si>
  <si>
    <t>PROJECT B-A</t>
  </si>
  <si>
    <t>THUS, THE CASH FLOWS FOR B - A ARE NEEDED</t>
  </si>
  <si>
    <t>B BECOMES THE CHALLENGER</t>
  </si>
  <si>
    <t>A BECOMES THE NEW CURRENT BEST</t>
  </si>
  <si>
    <t>SINCE THE ERR OF THE INCREMENT (12.64%) IS GREATER THAN MARR(12%) THE INCREMENTAL INVESTMENT IS ACCEPTED</t>
  </si>
  <si>
    <t>C63</t>
  </si>
  <si>
    <t>C64</t>
  </si>
  <si>
    <t xml:space="preserve"> =FV(C63,20,,50000)+FV(12%,20,-7500)</t>
  </si>
  <si>
    <t>C54</t>
  </si>
  <si>
    <t>C55</t>
  </si>
  <si>
    <t xml:space="preserve"> =FV(C54,20,,50000)+FV(12%,20,-7500)</t>
  </si>
  <si>
    <t xml:space="preserve"> =B48+(B50-B48)*(C49-C48)/(C50-C48)</t>
  </si>
  <si>
    <t xml:space="preserve"> =FV(B50,20,,50000)+FV(12%,20,-7500)</t>
  </si>
  <si>
    <t xml:space="preserve"> =FV(B48,20,,50000)+FV(12%,20,-7500)</t>
  </si>
  <si>
    <t xml:space="preserve"> =MIRR(E18:E38,,12%)</t>
  </si>
  <si>
    <t xml:space="preserve"> =RATE(20,,-50000,FV(12%,20,-7500))</t>
  </si>
  <si>
    <t>PROJECT A</t>
  </si>
  <si>
    <t>THUS, THE CASH FLOWS FOR A-NULL ARE NEEDED</t>
  </si>
  <si>
    <t>NEXT, THE INCREMENTAL CASH FLOWS FOR "CHALLENGER" - "CURRENT BEST" MUST BE DETERMINED</t>
  </si>
  <si>
    <t>NULL BECOMES THE "CURRENT BEST" AND A THE "CHALLENGER"</t>
  </si>
  <si>
    <t>ORDER IS NULL, A, B</t>
  </si>
  <si>
    <t>FOR AN INCREMENTAL ANALYSIS, THE ORDER MUST BE DETERMINED.</t>
  </si>
  <si>
    <t xml:space="preserve">MARR IS 12% </t>
  </si>
  <si>
    <t xml:space="preserve">  ASSUMING THAT NULL IS NOT AN OPTION.</t>
  </si>
  <si>
    <t>THIS SOLUTION ASSUMES THAT NULL IS AN OPTION; THE PROBLEM CAN ALSO BE WORKED</t>
  </si>
  <si>
    <t>ERR COMPARISONS MUST BE DONE INCREMENTALLY</t>
  </si>
  <si>
    <t>PROBLEM 8.64</t>
  </si>
  <si>
    <t>SUM DEPR</t>
  </si>
  <si>
    <t>MACRS-GDS(5)</t>
  </si>
  <si>
    <r>
      <t>B</t>
    </r>
    <r>
      <rPr>
        <vertAlign val="subscript"/>
        <sz val="10"/>
        <rFont val="Arial"/>
        <family val="2"/>
      </rPr>
      <t>t</t>
    </r>
  </si>
  <si>
    <r>
      <t>d</t>
    </r>
    <r>
      <rPr>
        <vertAlign val="subscript"/>
        <sz val="10"/>
        <rFont val="Arial"/>
        <family val="2"/>
      </rPr>
      <t>t</t>
    </r>
  </si>
  <si>
    <t>PERIODS</t>
  </si>
  <si>
    <t>RCVD SALV</t>
  </si>
  <si>
    <t>USEFUL LIFE</t>
  </si>
  <si>
    <t>EST SALV</t>
  </si>
  <si>
    <t>BASIS</t>
  </si>
  <si>
    <t>c</t>
  </si>
  <si>
    <t>b</t>
  </si>
  <si>
    <t>a</t>
  </si>
  <si>
    <t>PROBLEM 9.30</t>
  </si>
  <si>
    <r>
      <t>ERR</t>
    </r>
    <r>
      <rPr>
        <vertAlign val="subscript"/>
        <sz val="10"/>
        <rFont val="Arial"/>
        <family val="2"/>
      </rPr>
      <t>AT</t>
    </r>
    <r>
      <rPr>
        <sz val="10"/>
        <rFont val="Arial"/>
      </rPr>
      <t xml:space="preserve"> =</t>
    </r>
  </si>
  <si>
    <r>
      <t>IRR</t>
    </r>
    <r>
      <rPr>
        <vertAlign val="subscript"/>
        <sz val="10"/>
        <rFont val="Arial"/>
        <family val="2"/>
      </rPr>
      <t>AT</t>
    </r>
    <r>
      <rPr>
        <sz val="10"/>
        <rFont val="Arial"/>
      </rPr>
      <t xml:space="preserve"> =</t>
    </r>
  </si>
  <si>
    <r>
      <t>AW</t>
    </r>
    <r>
      <rPr>
        <vertAlign val="subscript"/>
        <sz val="10"/>
        <rFont val="Arial"/>
        <family val="2"/>
      </rPr>
      <t>AT</t>
    </r>
    <r>
      <rPr>
        <sz val="10"/>
        <rFont val="Arial"/>
      </rPr>
      <t xml:space="preserve"> =</t>
    </r>
  </si>
  <si>
    <r>
      <t>FW</t>
    </r>
    <r>
      <rPr>
        <vertAlign val="subscript"/>
        <sz val="10"/>
        <rFont val="Arial"/>
        <family val="2"/>
      </rPr>
      <t>AT</t>
    </r>
    <r>
      <rPr>
        <sz val="10"/>
        <rFont val="Arial"/>
      </rPr>
      <t xml:space="preserve"> =</t>
    </r>
  </si>
  <si>
    <t>BOOK VALUE</t>
  </si>
  <si>
    <r>
      <t>PW</t>
    </r>
    <r>
      <rPr>
        <vertAlign val="subscript"/>
        <sz val="10"/>
        <rFont val="Arial"/>
        <family val="2"/>
      </rPr>
      <t>AT</t>
    </r>
    <r>
      <rPr>
        <sz val="10"/>
        <rFont val="Arial"/>
      </rPr>
      <t xml:space="preserve"> =</t>
    </r>
  </si>
  <si>
    <r>
      <t>MARR</t>
    </r>
    <r>
      <rPr>
        <vertAlign val="subscript"/>
        <sz val="10"/>
        <rFont val="Arial"/>
        <family val="2"/>
      </rPr>
      <t>AT</t>
    </r>
    <r>
      <rPr>
        <sz val="10"/>
        <rFont val="Arial"/>
      </rPr>
      <t xml:space="preserve"> =</t>
    </r>
  </si>
  <si>
    <t>MACRS(7)</t>
  </si>
  <si>
    <t>ATCF</t>
  </si>
  <si>
    <t>ATCF-</t>
  </si>
  <si>
    <t>ATCF+</t>
  </si>
  <si>
    <t>T</t>
  </si>
  <si>
    <t>TI</t>
  </si>
  <si>
    <t>DWO</t>
  </si>
  <si>
    <t>IPMT</t>
  </si>
  <si>
    <t>PPMT</t>
  </si>
  <si>
    <t>BT&amp;LCF</t>
  </si>
  <si>
    <t>METHOD</t>
  </si>
  <si>
    <t>LOAN INT</t>
  </si>
  <si>
    <r>
      <t>MARR</t>
    </r>
    <r>
      <rPr>
        <vertAlign val="subscript"/>
        <sz val="10"/>
        <rFont val="Arial"/>
        <family val="2"/>
      </rPr>
      <t>AT</t>
    </r>
  </si>
  <si>
    <t>LOAN PERIOD</t>
  </si>
  <si>
    <t>TAX RATE</t>
  </si>
  <si>
    <t>BTCF</t>
  </si>
  <si>
    <t>LOAN PRINC</t>
  </si>
  <si>
    <t>LOAN METHOD 4</t>
  </si>
  <si>
    <t>d</t>
  </si>
  <si>
    <t>LOAN METHOD 3</t>
  </si>
  <si>
    <t>LOAN METHOD 2</t>
  </si>
  <si>
    <t>LOAN METHOD 1</t>
  </si>
  <si>
    <t>PROBLEM 10.41</t>
  </si>
  <si>
    <t>TO 25.  IN ALL CASES THE HOLDING TANK IS PREFERRED.</t>
  </si>
  <si>
    <t>SENSITIVITY TO EXPECTED LIFE IS NOT A CONCERN IN THE RANGE OF 15</t>
  </si>
  <si>
    <t>FOR THE ANALYSIS OF PART b.  THE TABLE ABOVE INDICATES THAT</t>
  </si>
  <si>
    <t>ALTHOUGH THE PROBLEM STATEMENT DOES NOT ASK FOR A CONCLUSION</t>
  </si>
  <si>
    <t>PREFERRED</t>
  </si>
  <si>
    <t>DIFF</t>
  </si>
  <si>
    <t>(P|A 15%,LIFE)</t>
  </si>
  <si>
    <t>LIFE</t>
  </si>
  <si>
    <t>DIFF = ($78,000 - $5,300(P|A 15%,N))</t>
  </si>
  <si>
    <t>DIFF = ($213,000 + $3,200(P|A 15%,N)) - (($90,000+$45,000)+$8,500(P|A 15%,N))</t>
  </si>
  <si>
    <t>IF THIS DIFFERENCE IS NEGATIVE, THE STORAGE FACILITY IS PREFERRED</t>
  </si>
  <si>
    <t>IF THIS DIFFERENCE IS POSITIVE, THE HOLDING TANK IS PREFERRED</t>
  </si>
  <si>
    <t>DIFF = STORAGE FACILITY - HOLDING TANK</t>
  </si>
  <si>
    <t xml:space="preserve">THE DIFFERENCE EQUATION WILL BE WRITTEN AS </t>
  </si>
  <si>
    <t>PW = ($90,000 + $45,000) + $8,500(P|A 15%,N)</t>
  </si>
  <si>
    <t>PW OF COST FOR HOLDING TANK</t>
  </si>
  <si>
    <t>PW = $213,000 + $3,200(P|A 15%,N)</t>
  </si>
  <si>
    <t>PW OF COST FOR STORAGE FACILITY</t>
  </si>
  <si>
    <t>WILL BE WRITTEN USING THE VARIABLE N FOR LIFE.</t>
  </si>
  <si>
    <t>SINCE LIFE IS GIVEN AS THE SENSITIVITY VARIABLE, THE PW EQUATIONS</t>
  </si>
  <si>
    <t xml:space="preserve">AMONG SEVERAL MEASURES.  A PW MEASURE WILL BE USED HERE.  </t>
  </si>
  <si>
    <t>MEASURE OF WORTH IS SPECIFIED SO STUDENTS MAY CHOOSE FROM</t>
  </si>
  <si>
    <t>SINGLE EQUATION APPROACH WILL BE USED HERE.  NO SPECIFIC</t>
  </si>
  <si>
    <t>COMPARED.  SINCE THE PROBLEM IS STATED AS "THE EQUATION", A</t>
  </si>
  <si>
    <t>EQUATION FOR EACH CHOICE CAN BE WRITTEN AND THE RESULTS</t>
  </si>
  <si>
    <t>CHOICES.  IF TWO EQUATIONS ARE USED, THEN A MEASURE OF WORTH</t>
  </si>
  <si>
    <t>THE DIFFERENCE IN A MEASURE OF WORTH CALCULATED FOR BOTH</t>
  </si>
  <si>
    <t>IF A SINGLE EQUATION IS USED, THEN THE EQUATION MUST REPRESENT</t>
  </si>
  <si>
    <t>PROBLEM 13.21</t>
  </si>
  <si>
    <t>$</t>
  </si>
  <si>
    <t>PAYMENT</t>
  </si>
  <si>
    <t>DURING YR</t>
  </si>
  <si>
    <t>REAL</t>
  </si>
  <si>
    <t>TOTAL</t>
  </si>
  <si>
    <t>CURRENT</t>
  </si>
  <si>
    <t>AFTER YEARLY</t>
  </si>
  <si>
    <t>PRINCIPAL</t>
  </si>
  <si>
    <t>INTEREST</t>
  </si>
  <si>
    <t xml:space="preserve">BEFORE YEARLY </t>
  </si>
  <si>
    <t>ACCRUED</t>
  </si>
  <si>
    <t>REPAYMENT</t>
  </si>
  <si>
    <t>PW</t>
  </si>
  <si>
    <t xml:space="preserve">PW </t>
  </si>
  <si>
    <t>TOTAL $ OWED</t>
  </si>
  <si>
    <t>LOAN PERIOD YEARS</t>
  </si>
  <si>
    <t>LOAN INTEREST RATE</t>
  </si>
  <si>
    <t>AMOUNT BORROWED</t>
  </si>
  <si>
    <t>REAL MARR</t>
  </si>
  <si>
    <t>COMBINED MARR</t>
  </si>
  <si>
    <t>INFLATION RATE</t>
  </si>
  <si>
    <t>PROBLEM 12.34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</si>
</sst>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164" formatCode="&quot;$&quot;#,##0.00"/>
    <numFmt numFmtId="165" formatCode="0.0000000000%"/>
    <numFmt numFmtId="166" formatCode="0.000%"/>
    <numFmt numFmtId="167" formatCode="0.00000"/>
  </numFmts>
  <fonts count="7" x14ac:knownFonts="1">
    <font>
      <sz val="10"/>
      <name val="Arial"/>
    </font>
    <font>
      <sz val="10"/>
      <name val="Arial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5" fillId="0" borderId="0" xfId="2" applyFont="1"/>
    <xf numFmtId="0" fontId="1" fillId="0" borderId="0" xfId="2" applyFont="1"/>
    <xf numFmtId="0" fontId="1" fillId="0" borderId="0" xfId="2" applyFont="1" applyAlignment="1">
      <alignment horizontal="right"/>
    </xf>
    <xf numFmtId="0" fontId="1" fillId="0" borderId="0" xfId="2" quotePrefix="1" applyFont="1"/>
    <xf numFmtId="164" fontId="1" fillId="0" borderId="0" xfId="2" applyNumberFormat="1" applyFont="1"/>
    <xf numFmtId="0" fontId="5" fillId="0" borderId="0" xfId="2" quotePrefix="1" applyFont="1"/>
    <xf numFmtId="10" fontId="1" fillId="0" borderId="0" xfId="1" applyNumberFormat="1" applyFont="1"/>
    <xf numFmtId="164" fontId="1" fillId="0" borderId="0" xfId="3" applyNumberFormat="1" applyFont="1"/>
    <xf numFmtId="0" fontId="1" fillId="0" borderId="0" xfId="0" quotePrefix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5" fillId="0" borderId="0" xfId="3" applyFont="1"/>
    <xf numFmtId="0" fontId="1" fillId="0" borderId="0" xfId="3" quotePrefix="1" applyFont="1"/>
    <xf numFmtId="0" fontId="1" fillId="0" borderId="0" xfId="3" applyFont="1"/>
    <xf numFmtId="10" fontId="1" fillId="0" borderId="0" xfId="4" applyNumberFormat="1" applyFont="1"/>
    <xf numFmtId="10" fontId="1" fillId="0" borderId="0" xfId="4" applyNumberFormat="1" applyFont="1" applyAlignment="1">
      <alignment horizontal="right"/>
    </xf>
    <xf numFmtId="165" fontId="1" fillId="0" borderId="0" xfId="3" quotePrefix="1" applyNumberFormat="1" applyFont="1"/>
    <xf numFmtId="0" fontId="1" fillId="0" borderId="0" xfId="3" applyFont="1" applyAlignment="1">
      <alignment horizontal="center"/>
    </xf>
    <xf numFmtId="0" fontId="2" fillId="0" borderId="0" xfId="0" quotePrefix="1" applyFont="1"/>
    <xf numFmtId="10" fontId="2" fillId="0" borderId="0" xfId="1" applyNumberFormat="1" applyFont="1"/>
    <xf numFmtId="0" fontId="2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0" fontId="1" fillId="0" borderId="0" xfId="0" applyNumberFormat="1" applyFont="1"/>
    <xf numFmtId="8" fontId="1" fillId="0" borderId="0" xfId="0" applyNumberFormat="1" applyFont="1"/>
    <xf numFmtId="164" fontId="1" fillId="0" borderId="0" xfId="0" applyNumberFormat="1" applyFont="1" applyBorder="1"/>
    <xf numFmtId="9" fontId="1" fillId="0" borderId="0" xfId="0" applyNumberFormat="1" applyFont="1"/>
    <xf numFmtId="166" fontId="1" fillId="0" borderId="0" xfId="0" applyNumberFormat="1" applyFont="1"/>
    <xf numFmtId="1" fontId="1" fillId="0" borderId="0" xfId="0" applyNumberFormat="1" applyFont="1"/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167" fontId="0" fillId="0" borderId="0" xfId="0" applyNumberFormat="1" applyAlignment="1">
      <alignment horizontal="center"/>
    </xf>
  </cellXfs>
  <cellStyles count="45">
    <cellStyle name="Normal" xfId="0" builtinId="0"/>
    <cellStyle name="Normal 2" xfId="5"/>
    <cellStyle name="Normal 2 2" xfId="6"/>
    <cellStyle name="Normal 2 3" xfId="7"/>
    <cellStyle name="Normal 2 4" xfId="8"/>
    <cellStyle name="Normal 2 5" xfId="9"/>
    <cellStyle name="Normal 2 6" xfId="10"/>
    <cellStyle name="Normal 3" xfId="11"/>
    <cellStyle name="Normal 3 2" xfId="12"/>
    <cellStyle name="Normal 3 3" xfId="13"/>
    <cellStyle name="Normal 3 4" xfId="14"/>
    <cellStyle name="Normal 3 5" xfId="15"/>
    <cellStyle name="Normal 3 6" xfId="16"/>
    <cellStyle name="Normal 4" xfId="3"/>
    <cellStyle name="Normal 4 2" xfId="17"/>
    <cellStyle name="Normal 4 3" xfId="18"/>
    <cellStyle name="Normal 4 4" xfId="19"/>
    <cellStyle name="Normal 4 5" xfId="20"/>
    <cellStyle name="Normal 4 6" xfId="21"/>
    <cellStyle name="Normal 5" xfId="2"/>
    <cellStyle name="Normal 5 2" xfId="22"/>
    <cellStyle name="Normal 5 3" xfId="23"/>
    <cellStyle name="Normal 5 4" xfId="24"/>
    <cellStyle name="Normal 5 5" xfId="25"/>
    <cellStyle name="Normal 5 6" xfId="26"/>
    <cellStyle name="Normal 7" xfId="27"/>
    <cellStyle name="Normal 8" xfId="28"/>
    <cellStyle name="Percent" xfId="1" builtinId="5"/>
    <cellStyle name="Percent 2 2" xfId="29"/>
    <cellStyle name="Percent 2 3" xfId="30"/>
    <cellStyle name="Percent 2 4" xfId="31"/>
    <cellStyle name="Percent 2 5" xfId="32"/>
    <cellStyle name="Percent 2 6" xfId="33"/>
    <cellStyle name="Percent 4" xfId="4"/>
    <cellStyle name="Percent 4 2" xfId="34"/>
    <cellStyle name="Percent 4 3" xfId="35"/>
    <cellStyle name="Percent 4 4" xfId="36"/>
    <cellStyle name="Percent 4 5" xfId="37"/>
    <cellStyle name="Percent 4 6" xfId="38"/>
    <cellStyle name="Percent 5" xfId="39"/>
    <cellStyle name="Percent 5 2" xfId="40"/>
    <cellStyle name="Percent 5 3" xfId="41"/>
    <cellStyle name="Percent 5 4" xfId="42"/>
    <cellStyle name="Percent 5 5" xfId="43"/>
    <cellStyle name="Percent 5 6" xfId="4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59"/>
  <sheetViews>
    <sheetView workbookViewId="0"/>
  </sheetViews>
  <sheetFormatPr baseColWidth="10" defaultColWidth="9.1640625" defaultRowHeight="12" x14ac:dyDescent="0"/>
  <cols>
    <col min="1" max="1" width="14.5" style="1" bestFit="1" customWidth="1"/>
    <col min="2" max="2" width="9.1640625" style="1"/>
    <col min="3" max="3" width="13.1640625" style="1" customWidth="1"/>
    <col min="4" max="4" width="15.33203125" style="1" customWidth="1"/>
    <col min="5" max="5" width="14.33203125" style="1" customWidth="1"/>
    <col min="6" max="6" width="12.6640625" style="1" customWidth="1"/>
    <col min="7" max="7" width="16" style="1" customWidth="1"/>
    <col min="8" max="8" width="16.5" style="1" customWidth="1"/>
    <col min="9" max="9" width="15" style="1" customWidth="1"/>
    <col min="10" max="10" width="13.6640625" style="1" customWidth="1"/>
    <col min="11" max="11" width="9.6640625" style="1" bestFit="1" customWidth="1"/>
    <col min="12" max="16384" width="9.1640625" style="1"/>
  </cols>
  <sheetData>
    <row r="1" spans="1:2">
      <c r="A1" s="1" t="s">
        <v>60</v>
      </c>
    </row>
    <row r="3" spans="1:2">
      <c r="B3" s="1" t="s">
        <v>59</v>
      </c>
    </row>
    <row r="4" spans="1:2">
      <c r="B4" s="1" t="s">
        <v>58</v>
      </c>
    </row>
    <row r="5" spans="1:2">
      <c r="B5" s="1" t="s">
        <v>57</v>
      </c>
    </row>
    <row r="7" spans="1:2">
      <c r="B7" s="1" t="s">
        <v>56</v>
      </c>
    </row>
    <row r="8" spans="1:2">
      <c r="B8" s="1" t="s">
        <v>55</v>
      </c>
    </row>
    <row r="9" spans="1:2">
      <c r="B9" s="1" t="s">
        <v>54</v>
      </c>
    </row>
    <row r="11" spans="1:2">
      <c r="B11" s="1" t="s">
        <v>53</v>
      </c>
    </row>
    <row r="12" spans="1:2">
      <c r="B12" s="1" t="s">
        <v>52</v>
      </c>
    </row>
    <row r="13" spans="1:2">
      <c r="B13" s="1" t="s">
        <v>51</v>
      </c>
    </row>
    <row r="15" spans="1:2">
      <c r="B15" s="1" t="s">
        <v>50</v>
      </c>
    </row>
    <row r="17" spans="2:10">
      <c r="B17" s="25" t="s">
        <v>33</v>
      </c>
      <c r="C17" s="25" t="s">
        <v>32</v>
      </c>
      <c r="D17" s="25" t="s">
        <v>31</v>
      </c>
      <c r="E17" s="25" t="s">
        <v>30</v>
      </c>
      <c r="F17" s="25"/>
      <c r="G17" s="25"/>
      <c r="H17" s="25"/>
      <c r="I17" s="25"/>
      <c r="J17" s="25"/>
    </row>
    <row r="18" spans="2:10">
      <c r="B18" s="25">
        <v>0</v>
      </c>
      <c r="C18" s="15">
        <v>-50000</v>
      </c>
      <c r="D18" s="15"/>
      <c r="E18" s="15">
        <f t="shared" ref="E18:E38" si="0">C18+D18</f>
        <v>-50000</v>
      </c>
    </row>
    <row r="19" spans="2:10">
      <c r="B19" s="25">
        <v>1</v>
      </c>
      <c r="C19" s="15">
        <v>-12500</v>
      </c>
      <c r="D19" s="15">
        <v>20000</v>
      </c>
      <c r="E19" s="15">
        <f t="shared" si="0"/>
        <v>7500</v>
      </c>
    </row>
    <row r="20" spans="2:10">
      <c r="B20" s="25">
        <v>2</v>
      </c>
      <c r="C20" s="15">
        <v>-12500</v>
      </c>
      <c r="D20" s="15">
        <v>20000</v>
      </c>
      <c r="E20" s="15">
        <f t="shared" si="0"/>
        <v>7500</v>
      </c>
    </row>
    <row r="21" spans="2:10">
      <c r="B21" s="25">
        <v>3</v>
      </c>
      <c r="C21" s="15">
        <v>-12500</v>
      </c>
      <c r="D21" s="15">
        <v>20000</v>
      </c>
      <c r="E21" s="15">
        <f t="shared" si="0"/>
        <v>7500</v>
      </c>
    </row>
    <row r="22" spans="2:10">
      <c r="B22" s="25">
        <v>4</v>
      </c>
      <c r="C22" s="15">
        <v>-12500</v>
      </c>
      <c r="D22" s="15">
        <v>20000</v>
      </c>
      <c r="E22" s="15">
        <f t="shared" si="0"/>
        <v>7500</v>
      </c>
    </row>
    <row r="23" spans="2:10">
      <c r="B23" s="25">
        <v>5</v>
      </c>
      <c r="C23" s="15">
        <v>-12500</v>
      </c>
      <c r="D23" s="15">
        <v>20000</v>
      </c>
      <c r="E23" s="15">
        <f t="shared" si="0"/>
        <v>7500</v>
      </c>
    </row>
    <row r="24" spans="2:10">
      <c r="B24" s="25">
        <v>6</v>
      </c>
      <c r="C24" s="15">
        <v>-12500</v>
      </c>
      <c r="D24" s="15">
        <v>20000</v>
      </c>
      <c r="E24" s="15">
        <f t="shared" si="0"/>
        <v>7500</v>
      </c>
    </row>
    <row r="25" spans="2:10">
      <c r="B25" s="25">
        <v>7</v>
      </c>
      <c r="C25" s="15">
        <v>-12500</v>
      </c>
      <c r="D25" s="15">
        <v>20000</v>
      </c>
      <c r="E25" s="15">
        <f t="shared" si="0"/>
        <v>7500</v>
      </c>
    </row>
    <row r="26" spans="2:10">
      <c r="B26" s="25">
        <v>8</v>
      </c>
      <c r="C26" s="15">
        <v>-12500</v>
      </c>
      <c r="D26" s="15">
        <v>20000</v>
      </c>
      <c r="E26" s="15">
        <f t="shared" si="0"/>
        <v>7500</v>
      </c>
    </row>
    <row r="27" spans="2:10">
      <c r="B27" s="25">
        <v>9</v>
      </c>
      <c r="C27" s="15">
        <v>-12500</v>
      </c>
      <c r="D27" s="15">
        <v>20000</v>
      </c>
      <c r="E27" s="15">
        <f t="shared" si="0"/>
        <v>7500</v>
      </c>
    </row>
    <row r="28" spans="2:10">
      <c r="B28" s="25">
        <v>10</v>
      </c>
      <c r="C28" s="15">
        <v>-12500</v>
      </c>
      <c r="D28" s="15">
        <v>20000</v>
      </c>
      <c r="E28" s="15">
        <f t="shared" si="0"/>
        <v>7500</v>
      </c>
    </row>
    <row r="29" spans="2:10">
      <c r="B29" s="25">
        <v>11</v>
      </c>
      <c r="C29" s="15">
        <v>-12500</v>
      </c>
      <c r="D29" s="15">
        <v>20000</v>
      </c>
      <c r="E29" s="15">
        <f t="shared" si="0"/>
        <v>7500</v>
      </c>
    </row>
    <row r="30" spans="2:10">
      <c r="B30" s="25">
        <v>12</v>
      </c>
      <c r="C30" s="15">
        <v>-12500</v>
      </c>
      <c r="D30" s="15">
        <v>20000</v>
      </c>
      <c r="E30" s="15">
        <f t="shared" si="0"/>
        <v>7500</v>
      </c>
    </row>
    <row r="31" spans="2:10">
      <c r="B31" s="25">
        <v>13</v>
      </c>
      <c r="C31" s="15">
        <v>-12500</v>
      </c>
      <c r="D31" s="15">
        <v>20000</v>
      </c>
      <c r="E31" s="15">
        <f t="shared" si="0"/>
        <v>7500</v>
      </c>
    </row>
    <row r="32" spans="2:10">
      <c r="B32" s="25">
        <v>14</v>
      </c>
      <c r="C32" s="15">
        <v>-12500</v>
      </c>
      <c r="D32" s="15">
        <v>20000</v>
      </c>
      <c r="E32" s="15">
        <f t="shared" si="0"/>
        <v>7500</v>
      </c>
    </row>
    <row r="33" spans="2:7">
      <c r="B33" s="25">
        <v>15</v>
      </c>
      <c r="C33" s="15">
        <v>-12500</v>
      </c>
      <c r="D33" s="15">
        <v>20000</v>
      </c>
      <c r="E33" s="15">
        <f t="shared" si="0"/>
        <v>7500</v>
      </c>
    </row>
    <row r="34" spans="2:7">
      <c r="B34" s="25">
        <v>16</v>
      </c>
      <c r="C34" s="15">
        <v>-12500</v>
      </c>
      <c r="D34" s="15">
        <v>20000</v>
      </c>
      <c r="E34" s="15">
        <f t="shared" si="0"/>
        <v>7500</v>
      </c>
    </row>
    <row r="35" spans="2:7">
      <c r="B35" s="25">
        <v>17</v>
      </c>
      <c r="C35" s="15">
        <v>-12500</v>
      </c>
      <c r="D35" s="15">
        <v>20000</v>
      </c>
      <c r="E35" s="15">
        <f t="shared" si="0"/>
        <v>7500</v>
      </c>
    </row>
    <row r="36" spans="2:7">
      <c r="B36" s="25">
        <v>18</v>
      </c>
      <c r="C36" s="15">
        <v>-12500</v>
      </c>
      <c r="D36" s="15">
        <v>20000</v>
      </c>
      <c r="E36" s="15">
        <f t="shared" si="0"/>
        <v>7500</v>
      </c>
    </row>
    <row r="37" spans="2:7">
      <c r="B37" s="25">
        <v>19</v>
      </c>
      <c r="C37" s="15">
        <v>-12500</v>
      </c>
      <c r="D37" s="15">
        <v>20000</v>
      </c>
      <c r="E37" s="15">
        <f t="shared" si="0"/>
        <v>7500</v>
      </c>
    </row>
    <row r="38" spans="2:7">
      <c r="B38" s="25">
        <v>20</v>
      </c>
      <c r="C38" s="15">
        <v>-12500</v>
      </c>
      <c r="D38" s="15">
        <v>20000</v>
      </c>
      <c r="E38" s="15">
        <f t="shared" si="0"/>
        <v>7500</v>
      </c>
    </row>
    <row r="40" spans="2:7">
      <c r="B40" s="1" t="s">
        <v>29</v>
      </c>
      <c r="E40" s="3"/>
      <c r="F40" s="3"/>
      <c r="G40" s="3"/>
    </row>
    <row r="41" spans="2:7">
      <c r="B41" s="1" t="s">
        <v>19</v>
      </c>
      <c r="C41" s="19">
        <f>RATE(20,,-50000,FV(12%,20,-7500))</f>
        <v>0.12638536296886635</v>
      </c>
      <c r="D41" s="23" t="s">
        <v>49</v>
      </c>
      <c r="E41" s="3"/>
      <c r="F41" s="3"/>
      <c r="G41" s="3"/>
    </row>
    <row r="42" spans="2:7">
      <c r="E42" s="3"/>
      <c r="F42" s="3"/>
      <c r="G42" s="3"/>
    </row>
    <row r="43" spans="2:7">
      <c r="B43" s="1" t="s">
        <v>27</v>
      </c>
      <c r="E43" s="3"/>
      <c r="F43" s="3"/>
      <c r="G43" s="3"/>
    </row>
    <row r="44" spans="2:7">
      <c r="B44" s="1" t="s">
        <v>19</v>
      </c>
      <c r="C44" s="24">
        <f>MIRR(E18:E38,,12%)</f>
        <v>0.12638536296886649</v>
      </c>
      <c r="D44" s="23" t="s">
        <v>48</v>
      </c>
      <c r="E44" s="3"/>
      <c r="F44" s="3"/>
      <c r="G44" s="3"/>
    </row>
    <row r="45" spans="2:7">
      <c r="B45" s="3"/>
      <c r="C45" s="3"/>
      <c r="D45" s="3"/>
      <c r="E45" s="3"/>
      <c r="F45" s="3"/>
      <c r="G45" s="3"/>
    </row>
    <row r="46" spans="2:7" ht="14">
      <c r="B46" s="18" t="s">
        <v>25</v>
      </c>
      <c r="C46" s="16"/>
      <c r="D46" s="16"/>
      <c r="E46" s="16"/>
      <c r="F46" s="3"/>
      <c r="G46" s="3"/>
    </row>
    <row r="47" spans="2:7" ht="14">
      <c r="B47" s="22" t="s">
        <v>24</v>
      </c>
      <c r="C47" s="22" t="s">
        <v>23</v>
      </c>
      <c r="D47" s="16"/>
      <c r="E47" s="16"/>
      <c r="F47" s="3"/>
      <c r="G47" s="3"/>
    </row>
    <row r="48" spans="2:7" ht="14">
      <c r="B48" s="19">
        <v>0.12</v>
      </c>
      <c r="C48" s="15">
        <f>FV(B48,20,,50000)+FV(12%,20,-7500)</f>
        <v>58078.663665936852</v>
      </c>
      <c r="D48" s="21" t="s">
        <v>47</v>
      </c>
      <c r="E48" s="16"/>
      <c r="F48" s="3"/>
      <c r="G48" s="3"/>
    </row>
    <row r="49" spans="2:7" ht="14">
      <c r="B49" s="20" t="s">
        <v>21</v>
      </c>
      <c r="C49" s="11">
        <v>0</v>
      </c>
      <c r="D49" s="16"/>
      <c r="E49" s="16"/>
      <c r="F49" s="3"/>
      <c r="G49" s="3"/>
    </row>
    <row r="50" spans="2:7" ht="14">
      <c r="B50" s="19">
        <v>0.15</v>
      </c>
      <c r="C50" s="11">
        <f>FV(B50,20,,50000)+FV(12%,20,-7500)</f>
        <v>-277933.55131761986</v>
      </c>
      <c r="D50" s="17" t="s">
        <v>46</v>
      </c>
      <c r="E50" s="16"/>
      <c r="F50" s="3"/>
      <c r="G50" s="3"/>
    </row>
    <row r="51" spans="2:7" ht="14">
      <c r="B51" s="18" t="s">
        <v>19</v>
      </c>
      <c r="C51" s="10">
        <f>B48+(B50-B48)*(C49-C48)/(C50-C48)</f>
        <v>0.12518540645929604</v>
      </c>
      <c r="D51" s="17" t="s">
        <v>45</v>
      </c>
      <c r="E51" s="16"/>
      <c r="F51" s="3"/>
      <c r="G51" s="3"/>
    </row>
    <row r="52" spans="2:7">
      <c r="B52" s="3"/>
      <c r="C52" s="3"/>
      <c r="D52" s="3"/>
      <c r="E52" s="3"/>
      <c r="F52" s="3"/>
      <c r="G52" s="3"/>
    </row>
    <row r="53" spans="2:7" ht="14">
      <c r="B53" s="5" t="s">
        <v>17</v>
      </c>
      <c r="C53" s="4"/>
      <c r="D53" s="4"/>
      <c r="E53" s="4"/>
      <c r="F53" s="4"/>
      <c r="G53" s="2"/>
    </row>
    <row r="54" spans="2:7" ht="14">
      <c r="B54" s="5" t="s">
        <v>12</v>
      </c>
      <c r="C54" s="10">
        <v>0.12638536296887484</v>
      </c>
      <c r="D54" s="9"/>
      <c r="E54" s="4"/>
      <c r="F54" s="4"/>
      <c r="G54" s="2"/>
    </row>
    <row r="55" spans="2:7" ht="14">
      <c r="B55" s="5" t="s">
        <v>11</v>
      </c>
      <c r="C55" s="11">
        <f>FV(C54,20,,50000)+FV(12%,20,-7500)</f>
        <v>-8.1839971244335175E-8</v>
      </c>
      <c r="D55" s="7" t="s">
        <v>44</v>
      </c>
      <c r="E55" s="4"/>
      <c r="F55" s="4"/>
      <c r="G55" s="2"/>
    </row>
    <row r="56" spans="2:7" ht="14">
      <c r="B56" s="5" t="s">
        <v>9</v>
      </c>
      <c r="C56" s="4"/>
      <c r="D56" s="4"/>
      <c r="E56" s="4"/>
      <c r="F56" s="4"/>
      <c r="G56" s="2"/>
    </row>
    <row r="57" spans="2:7" ht="14">
      <c r="B57" s="5" t="s">
        <v>8</v>
      </c>
      <c r="C57" s="4"/>
      <c r="D57" s="4"/>
      <c r="E57" s="6" t="s">
        <v>43</v>
      </c>
      <c r="F57" s="4"/>
      <c r="G57" s="2"/>
    </row>
    <row r="58" spans="2:7" ht="14">
      <c r="B58" s="5" t="s">
        <v>6</v>
      </c>
      <c r="C58" s="4"/>
      <c r="D58" s="4"/>
      <c r="E58" s="6">
        <v>0</v>
      </c>
      <c r="F58" s="4"/>
      <c r="G58" s="2"/>
    </row>
    <row r="59" spans="2:7" ht="14">
      <c r="B59" s="5" t="s">
        <v>5</v>
      </c>
      <c r="C59" s="4"/>
      <c r="D59" s="4"/>
      <c r="E59" s="6" t="s">
        <v>42</v>
      </c>
      <c r="F59" s="3"/>
      <c r="G59" s="2"/>
    </row>
    <row r="60" spans="2:7" ht="14">
      <c r="B60" s="5" t="s">
        <v>3</v>
      </c>
      <c r="C60" s="4"/>
      <c r="D60" s="4"/>
      <c r="E60" s="4"/>
      <c r="F60" s="3"/>
      <c r="G60" s="2"/>
    </row>
    <row r="61" spans="2:7">
      <c r="B61" s="2"/>
      <c r="C61" s="2"/>
      <c r="D61" s="2"/>
      <c r="E61" s="2"/>
      <c r="F61" s="2"/>
      <c r="G61" s="2"/>
    </row>
    <row r="62" spans="2:7" ht="14">
      <c r="B62" s="5" t="s">
        <v>13</v>
      </c>
      <c r="C62" s="4"/>
      <c r="D62" s="4"/>
      <c r="E62" s="4"/>
      <c r="F62" s="4"/>
      <c r="G62" s="2"/>
    </row>
    <row r="63" spans="2:7" ht="14">
      <c r="B63" s="5" t="s">
        <v>12</v>
      </c>
      <c r="C63" s="10">
        <v>0.12638536296887248</v>
      </c>
      <c r="D63" s="9"/>
      <c r="E63" s="4"/>
      <c r="F63" s="4"/>
      <c r="G63" s="2"/>
    </row>
    <row r="64" spans="2:7" ht="14">
      <c r="B64" s="5" t="s">
        <v>11</v>
      </c>
      <c r="C64" s="8">
        <f>FV(C63,20,,50000)+FV(12%,20,-7500)</f>
        <v>-5.8207660913467407E-8</v>
      </c>
      <c r="D64" s="7" t="s">
        <v>41</v>
      </c>
      <c r="E64" s="4"/>
      <c r="F64" s="4"/>
      <c r="G64" s="2"/>
    </row>
    <row r="65" spans="2:10" ht="14">
      <c r="B65" s="5" t="s">
        <v>9</v>
      </c>
      <c r="C65" s="4"/>
      <c r="D65" s="4"/>
      <c r="E65" s="4"/>
      <c r="F65" s="4"/>
      <c r="G65" s="2"/>
    </row>
    <row r="66" spans="2:10" ht="14">
      <c r="B66" s="5" t="s">
        <v>8</v>
      </c>
      <c r="C66" s="4"/>
      <c r="D66" s="4"/>
      <c r="E66" s="6" t="s">
        <v>40</v>
      </c>
      <c r="F66" s="4"/>
      <c r="G66" s="2"/>
    </row>
    <row r="67" spans="2:10" ht="14">
      <c r="B67" s="5" t="s">
        <v>6</v>
      </c>
      <c r="C67" s="4"/>
      <c r="D67" s="4"/>
      <c r="E67" s="6">
        <v>0</v>
      </c>
      <c r="F67" s="4"/>
      <c r="G67" s="2"/>
    </row>
    <row r="68" spans="2:10" ht="14">
      <c r="B68" s="5" t="s">
        <v>5</v>
      </c>
      <c r="C68" s="4"/>
      <c r="D68" s="4"/>
      <c r="E68" s="6" t="s">
        <v>39</v>
      </c>
      <c r="F68" s="3"/>
      <c r="G68" s="2"/>
    </row>
    <row r="69" spans="2:10" ht="14">
      <c r="B69" s="5" t="s">
        <v>3</v>
      </c>
      <c r="C69" s="4"/>
      <c r="D69" s="4"/>
      <c r="E69" s="4"/>
      <c r="F69" s="3"/>
      <c r="G69" s="2"/>
    </row>
    <row r="71" spans="2:10">
      <c r="B71" s="1" t="s">
        <v>38</v>
      </c>
    </row>
    <row r="72" spans="2:10">
      <c r="B72" s="1" t="s">
        <v>37</v>
      </c>
    </row>
    <row r="73" spans="2:10">
      <c r="B73" s="1" t="s">
        <v>36</v>
      </c>
    </row>
    <row r="74" spans="2:10">
      <c r="B74" s="1" t="s">
        <v>35</v>
      </c>
    </row>
    <row r="76" spans="2:10">
      <c r="B76" s="1" t="s">
        <v>34</v>
      </c>
    </row>
    <row r="78" spans="2:10">
      <c r="B78" s="25" t="s">
        <v>33</v>
      </c>
      <c r="C78" s="25" t="s">
        <v>32</v>
      </c>
      <c r="D78" s="25" t="s">
        <v>31</v>
      </c>
      <c r="E78" s="25" t="s">
        <v>30</v>
      </c>
      <c r="F78" s="25"/>
      <c r="G78" s="25"/>
      <c r="H78" s="25"/>
      <c r="I78" s="25"/>
      <c r="J78" s="25"/>
    </row>
    <row r="79" spans="2:10">
      <c r="B79" s="25">
        <v>0</v>
      </c>
      <c r="C79" s="15">
        <v>-25000</v>
      </c>
      <c r="D79" s="15"/>
      <c r="E79" s="15">
        <f t="shared" ref="E79:E99" si="1">C79+D79</f>
        <v>-25000</v>
      </c>
    </row>
    <row r="80" spans="2:10">
      <c r="B80" s="25">
        <v>1</v>
      </c>
      <c r="C80" s="15">
        <v>-5500</v>
      </c>
      <c r="D80" s="15">
        <v>8000</v>
      </c>
      <c r="E80" s="15">
        <f t="shared" si="1"/>
        <v>2500</v>
      </c>
    </row>
    <row r="81" spans="2:5">
      <c r="B81" s="25">
        <v>2</v>
      </c>
      <c r="C81" s="15">
        <v>-5500</v>
      </c>
      <c r="D81" s="15">
        <v>8000</v>
      </c>
      <c r="E81" s="15">
        <f t="shared" si="1"/>
        <v>2500</v>
      </c>
    </row>
    <row r="82" spans="2:5">
      <c r="B82" s="25">
        <v>3</v>
      </c>
      <c r="C82" s="15">
        <v>-5500</v>
      </c>
      <c r="D82" s="15">
        <v>8000</v>
      </c>
      <c r="E82" s="15">
        <f t="shared" si="1"/>
        <v>2500</v>
      </c>
    </row>
    <row r="83" spans="2:5">
      <c r="B83" s="25">
        <v>4</v>
      </c>
      <c r="C83" s="15">
        <v>-5500</v>
      </c>
      <c r="D83" s="15">
        <v>8000</v>
      </c>
      <c r="E83" s="15">
        <f t="shared" si="1"/>
        <v>2500</v>
      </c>
    </row>
    <row r="84" spans="2:5">
      <c r="B84" s="25">
        <v>5</v>
      </c>
      <c r="C84" s="15">
        <v>-5500</v>
      </c>
      <c r="D84" s="15">
        <v>8000</v>
      </c>
      <c r="E84" s="15">
        <f t="shared" si="1"/>
        <v>2500</v>
      </c>
    </row>
    <row r="85" spans="2:5">
      <c r="B85" s="25">
        <v>6</v>
      </c>
      <c r="C85" s="15">
        <v>-5500</v>
      </c>
      <c r="D85" s="15">
        <v>8000</v>
      </c>
      <c r="E85" s="15">
        <f t="shared" si="1"/>
        <v>2500</v>
      </c>
    </row>
    <row r="86" spans="2:5">
      <c r="B86" s="25">
        <v>7</v>
      </c>
      <c r="C86" s="15">
        <v>-5500</v>
      </c>
      <c r="D86" s="15">
        <v>8000</v>
      </c>
      <c r="E86" s="15">
        <f t="shared" si="1"/>
        <v>2500</v>
      </c>
    </row>
    <row r="87" spans="2:5">
      <c r="B87" s="25">
        <v>8</v>
      </c>
      <c r="C87" s="15">
        <v>-5500</v>
      </c>
      <c r="D87" s="15">
        <v>8000</v>
      </c>
      <c r="E87" s="15">
        <f t="shared" si="1"/>
        <v>2500</v>
      </c>
    </row>
    <row r="88" spans="2:5">
      <c r="B88" s="25">
        <v>9</v>
      </c>
      <c r="C88" s="15">
        <v>-5500</v>
      </c>
      <c r="D88" s="15">
        <v>8000</v>
      </c>
      <c r="E88" s="15">
        <f t="shared" si="1"/>
        <v>2500</v>
      </c>
    </row>
    <row r="89" spans="2:5">
      <c r="B89" s="25">
        <v>10</v>
      </c>
      <c r="C89" s="15">
        <v>-5500</v>
      </c>
      <c r="D89" s="15">
        <v>8000</v>
      </c>
      <c r="E89" s="15">
        <f t="shared" si="1"/>
        <v>2500</v>
      </c>
    </row>
    <row r="90" spans="2:5">
      <c r="B90" s="25">
        <v>11</v>
      </c>
      <c r="C90" s="15">
        <v>-5500</v>
      </c>
      <c r="D90" s="15">
        <v>8000</v>
      </c>
      <c r="E90" s="15">
        <f t="shared" si="1"/>
        <v>2500</v>
      </c>
    </row>
    <row r="91" spans="2:5">
      <c r="B91" s="25">
        <v>12</v>
      </c>
      <c r="C91" s="15">
        <v>-5500</v>
      </c>
      <c r="D91" s="15">
        <v>8000</v>
      </c>
      <c r="E91" s="15">
        <f t="shared" si="1"/>
        <v>2500</v>
      </c>
    </row>
    <row r="92" spans="2:5">
      <c r="B92" s="25">
        <v>13</v>
      </c>
      <c r="C92" s="15">
        <v>-5500</v>
      </c>
      <c r="D92" s="15">
        <v>8000</v>
      </c>
      <c r="E92" s="15">
        <f t="shared" si="1"/>
        <v>2500</v>
      </c>
    </row>
    <row r="93" spans="2:5">
      <c r="B93" s="25">
        <v>14</v>
      </c>
      <c r="C93" s="15">
        <v>-5500</v>
      </c>
      <c r="D93" s="15">
        <v>8000</v>
      </c>
      <c r="E93" s="15">
        <f t="shared" si="1"/>
        <v>2500</v>
      </c>
    </row>
    <row r="94" spans="2:5">
      <c r="B94" s="25">
        <v>15</v>
      </c>
      <c r="C94" s="15">
        <v>-5500</v>
      </c>
      <c r="D94" s="15">
        <v>8000</v>
      </c>
      <c r="E94" s="15">
        <f t="shared" si="1"/>
        <v>2500</v>
      </c>
    </row>
    <row r="95" spans="2:5">
      <c r="B95" s="25">
        <v>16</v>
      </c>
      <c r="C95" s="15">
        <v>-5500</v>
      </c>
      <c r="D95" s="15">
        <v>8000</v>
      </c>
      <c r="E95" s="15">
        <f t="shared" si="1"/>
        <v>2500</v>
      </c>
    </row>
    <row r="96" spans="2:5">
      <c r="B96" s="25">
        <v>17</v>
      </c>
      <c r="C96" s="15">
        <v>-5500</v>
      </c>
      <c r="D96" s="15">
        <v>8000</v>
      </c>
      <c r="E96" s="15">
        <f t="shared" si="1"/>
        <v>2500</v>
      </c>
    </row>
    <row r="97" spans="2:7">
      <c r="B97" s="25">
        <v>18</v>
      </c>
      <c r="C97" s="15">
        <v>-5500</v>
      </c>
      <c r="D97" s="15">
        <v>8000</v>
      </c>
      <c r="E97" s="15">
        <f t="shared" si="1"/>
        <v>2500</v>
      </c>
    </row>
    <row r="98" spans="2:7">
      <c r="B98" s="25">
        <v>19</v>
      </c>
      <c r="C98" s="15">
        <v>-5500</v>
      </c>
      <c r="D98" s="15">
        <v>8000</v>
      </c>
      <c r="E98" s="15">
        <f t="shared" si="1"/>
        <v>2500</v>
      </c>
    </row>
    <row r="99" spans="2:7">
      <c r="B99" s="25">
        <v>20</v>
      </c>
      <c r="C99" s="15">
        <v>-5500</v>
      </c>
      <c r="D99" s="15">
        <v>8000</v>
      </c>
      <c r="E99" s="15">
        <f t="shared" si="1"/>
        <v>2500</v>
      </c>
    </row>
    <row r="101" spans="2:7">
      <c r="B101" s="1" t="s">
        <v>29</v>
      </c>
      <c r="E101" s="3"/>
      <c r="F101" s="3"/>
      <c r="G101" s="3"/>
    </row>
    <row r="102" spans="2:7">
      <c r="B102" s="1" t="s">
        <v>19</v>
      </c>
      <c r="C102" s="19">
        <f>RATE(20,,-25000,FV(12%,20,-2500))</f>
        <v>0.10377978340948067</v>
      </c>
      <c r="D102" s="23" t="s">
        <v>28</v>
      </c>
      <c r="E102" s="3"/>
      <c r="F102" s="3"/>
      <c r="G102" s="3"/>
    </row>
    <row r="103" spans="2:7">
      <c r="E103" s="3"/>
      <c r="F103" s="3"/>
      <c r="G103" s="3"/>
    </row>
    <row r="104" spans="2:7">
      <c r="B104" s="1" t="s">
        <v>27</v>
      </c>
      <c r="E104" s="3"/>
      <c r="F104" s="3"/>
      <c r="G104" s="3"/>
    </row>
    <row r="105" spans="2:7">
      <c r="B105" s="1" t="s">
        <v>19</v>
      </c>
      <c r="C105" s="24">
        <f>MIRR(E79:E99,,12%)</f>
        <v>0.10377978340948069</v>
      </c>
      <c r="D105" s="23" t="s">
        <v>26</v>
      </c>
      <c r="E105" s="3"/>
      <c r="F105" s="3"/>
      <c r="G105" s="3"/>
    </row>
    <row r="106" spans="2:7">
      <c r="B106" s="3"/>
      <c r="C106" s="3"/>
      <c r="D106" s="3"/>
      <c r="E106" s="3"/>
      <c r="F106" s="3"/>
      <c r="G106" s="3"/>
    </row>
    <row r="107" spans="2:7" ht="14">
      <c r="B107" s="18" t="s">
        <v>25</v>
      </c>
      <c r="C107" s="16"/>
      <c r="D107" s="16"/>
      <c r="E107" s="16"/>
      <c r="F107" s="3"/>
      <c r="G107" s="3"/>
    </row>
    <row r="108" spans="2:7" ht="14">
      <c r="B108" s="22" t="s">
        <v>24</v>
      </c>
      <c r="C108" s="22" t="s">
        <v>23</v>
      </c>
      <c r="D108" s="16"/>
      <c r="E108" s="16"/>
      <c r="F108" s="3"/>
      <c r="G108" s="3"/>
    </row>
    <row r="109" spans="2:7" ht="14">
      <c r="B109" s="19">
        <v>0.1</v>
      </c>
      <c r="C109" s="15">
        <f>FV(B109,20,,25000)+FV(12%,20,-2500)</f>
        <v>11943.607376754488</v>
      </c>
      <c r="D109" s="21" t="s">
        <v>22</v>
      </c>
      <c r="E109" s="16"/>
      <c r="F109" s="3"/>
      <c r="G109" s="3"/>
    </row>
    <row r="110" spans="2:7" ht="14">
      <c r="B110" s="20" t="s">
        <v>21</v>
      </c>
      <c r="C110" s="11">
        <v>0</v>
      </c>
      <c r="D110" s="16"/>
      <c r="E110" s="16"/>
      <c r="F110" s="3"/>
      <c r="G110" s="3"/>
    </row>
    <row r="111" spans="2:7" ht="14">
      <c r="B111" s="19">
        <v>0.11</v>
      </c>
      <c r="C111" s="11">
        <f>FV(B111,20,,25000)+FV(12%,20,-2500)</f>
        <v>-21426.682293334103</v>
      </c>
      <c r="D111" s="17" t="s">
        <v>20</v>
      </c>
      <c r="E111" s="16"/>
      <c r="F111" s="3"/>
      <c r="G111" s="3"/>
    </row>
    <row r="112" spans="2:7" ht="14">
      <c r="B112" s="18" t="s">
        <v>19</v>
      </c>
      <c r="C112" s="10">
        <f>B109+(B111-B109)*(C110-C109)/(C111-C109)</f>
        <v>0.1035791140846644</v>
      </c>
      <c r="D112" s="17" t="s">
        <v>18</v>
      </c>
      <c r="E112" s="16"/>
      <c r="F112" s="3"/>
      <c r="G112" s="3"/>
    </row>
    <row r="113" spans="2:7">
      <c r="B113" s="3"/>
      <c r="C113" s="3"/>
      <c r="D113" s="3"/>
      <c r="E113" s="3"/>
      <c r="F113" s="3"/>
      <c r="G113" s="3"/>
    </row>
    <row r="114" spans="2:7" ht="14">
      <c r="B114" s="5" t="s">
        <v>17</v>
      </c>
      <c r="C114" s="4"/>
      <c r="D114" s="4"/>
      <c r="E114" s="4"/>
      <c r="F114" s="4"/>
      <c r="G114" s="2"/>
    </row>
    <row r="115" spans="2:7" ht="14">
      <c r="B115" s="5" t="s">
        <v>12</v>
      </c>
      <c r="C115" s="10">
        <v>0.10377978340951136</v>
      </c>
      <c r="D115" s="9"/>
      <c r="E115" s="4"/>
      <c r="F115" s="4"/>
      <c r="G115" s="2"/>
    </row>
    <row r="116" spans="2:7" ht="14">
      <c r="B116" s="5" t="s">
        <v>11</v>
      </c>
      <c r="C116" s="11">
        <f>FV(C115,20,,25000)+FV(12%,20,-2500)</f>
        <v>-1.0037911124527454E-7</v>
      </c>
      <c r="D116" s="7" t="s">
        <v>16</v>
      </c>
      <c r="E116" s="4"/>
      <c r="F116" s="4"/>
      <c r="G116" s="2"/>
    </row>
    <row r="117" spans="2:7" ht="14">
      <c r="B117" s="5" t="s">
        <v>9</v>
      </c>
      <c r="C117" s="4"/>
      <c r="D117" s="4"/>
      <c r="E117" s="4"/>
      <c r="F117" s="4"/>
      <c r="G117" s="2"/>
    </row>
    <row r="118" spans="2:7" ht="14">
      <c r="B118" s="5" t="s">
        <v>8</v>
      </c>
      <c r="C118" s="4"/>
      <c r="D118" s="4"/>
      <c r="E118" s="6" t="s">
        <v>15</v>
      </c>
      <c r="F118" s="4"/>
      <c r="G118" s="2"/>
    </row>
    <row r="119" spans="2:7" ht="14">
      <c r="B119" s="5" t="s">
        <v>6</v>
      </c>
      <c r="C119" s="4"/>
      <c r="D119" s="4"/>
      <c r="E119" s="6">
        <v>0</v>
      </c>
      <c r="F119" s="4"/>
      <c r="G119" s="2"/>
    </row>
    <row r="120" spans="2:7" ht="14">
      <c r="B120" s="5" t="s">
        <v>5</v>
      </c>
      <c r="C120" s="4"/>
      <c r="D120" s="4"/>
      <c r="E120" s="6" t="s">
        <v>14</v>
      </c>
      <c r="F120" s="3"/>
      <c r="G120" s="2"/>
    </row>
    <row r="121" spans="2:7" ht="14">
      <c r="B121" s="5" t="s">
        <v>3</v>
      </c>
      <c r="C121" s="4"/>
      <c r="D121" s="4"/>
      <c r="E121" s="4"/>
      <c r="F121" s="3"/>
      <c r="G121" s="2"/>
    </row>
    <row r="122" spans="2:7">
      <c r="B122" s="2"/>
      <c r="C122" s="2"/>
      <c r="D122" s="2"/>
      <c r="E122" s="2"/>
      <c r="F122" s="2"/>
      <c r="G122" s="2"/>
    </row>
    <row r="123" spans="2:7" ht="14">
      <c r="B123" s="5" t="s">
        <v>13</v>
      </c>
      <c r="C123" s="4"/>
      <c r="D123" s="4"/>
      <c r="E123" s="4"/>
      <c r="F123" s="4"/>
      <c r="G123" s="2"/>
    </row>
    <row r="124" spans="2:7" ht="14">
      <c r="B124" s="5" t="s">
        <v>12</v>
      </c>
      <c r="C124" s="10">
        <v>0.10377978340951455</v>
      </c>
      <c r="D124" s="9"/>
      <c r="E124" s="4"/>
      <c r="F124" s="4"/>
      <c r="G124" s="2"/>
    </row>
    <row r="125" spans="2:7" ht="14">
      <c r="B125" s="5" t="s">
        <v>11</v>
      </c>
      <c r="C125" s="8">
        <f>FV(C124,20,,25000)+FV(12%,20,-2500)</f>
        <v>-1.1062365956604481E-7</v>
      </c>
      <c r="D125" s="7" t="s">
        <v>10</v>
      </c>
      <c r="E125" s="4"/>
      <c r="F125" s="4"/>
      <c r="G125" s="2"/>
    </row>
    <row r="126" spans="2:7" ht="14">
      <c r="B126" s="5" t="s">
        <v>9</v>
      </c>
      <c r="C126" s="4"/>
      <c r="D126" s="4"/>
      <c r="E126" s="4"/>
      <c r="F126" s="4"/>
      <c r="G126" s="2"/>
    </row>
    <row r="127" spans="2:7" ht="14">
      <c r="B127" s="5" t="s">
        <v>8</v>
      </c>
      <c r="C127" s="4"/>
      <c r="D127" s="4"/>
      <c r="E127" s="6" t="s">
        <v>7</v>
      </c>
      <c r="F127" s="4"/>
      <c r="G127" s="2"/>
    </row>
    <row r="128" spans="2:7" ht="14">
      <c r="B128" s="5" t="s">
        <v>6</v>
      </c>
      <c r="C128" s="4"/>
      <c r="D128" s="4"/>
      <c r="E128" s="6">
        <v>0</v>
      </c>
      <c r="F128" s="4"/>
      <c r="G128" s="2"/>
    </row>
    <row r="129" spans="2:7" ht="14">
      <c r="B129" s="5" t="s">
        <v>5</v>
      </c>
      <c r="C129" s="4"/>
      <c r="D129" s="4"/>
      <c r="E129" s="6" t="s">
        <v>4</v>
      </c>
      <c r="F129" s="3"/>
      <c r="G129" s="2"/>
    </row>
    <row r="130" spans="2:7" ht="14">
      <c r="B130" s="5" t="s">
        <v>3</v>
      </c>
      <c r="C130" s="4"/>
      <c r="D130" s="4"/>
      <c r="E130" s="4"/>
      <c r="F130" s="3"/>
      <c r="G130" s="2"/>
    </row>
    <row r="131" spans="2:7">
      <c r="B131" s="14"/>
      <c r="C131" s="15"/>
      <c r="D131" s="3"/>
      <c r="E131" s="3"/>
      <c r="F131" s="3"/>
      <c r="G131" s="3"/>
    </row>
    <row r="132" spans="2:7">
      <c r="B132" s="1" t="s">
        <v>2</v>
      </c>
      <c r="D132" s="3"/>
      <c r="E132" s="3"/>
      <c r="F132" s="3"/>
      <c r="G132" s="3"/>
    </row>
    <row r="133" spans="2:7">
      <c r="B133" s="1" t="s">
        <v>1</v>
      </c>
      <c r="D133" s="3"/>
      <c r="E133" s="3"/>
      <c r="F133" s="3"/>
      <c r="G133" s="3"/>
    </row>
    <row r="134" spans="2:7">
      <c r="B134" s="1" t="s">
        <v>0</v>
      </c>
      <c r="D134" s="3"/>
      <c r="E134" s="3"/>
      <c r="F134" s="3"/>
      <c r="G134" s="3"/>
    </row>
    <row r="135" spans="2:7">
      <c r="B135" s="14"/>
      <c r="C135" s="15"/>
      <c r="D135" s="3"/>
      <c r="E135" s="3"/>
      <c r="F135" s="3"/>
      <c r="G135" s="3"/>
    </row>
    <row r="136" spans="2:7">
      <c r="B136" s="14"/>
      <c r="C136" s="15"/>
      <c r="D136" s="3"/>
      <c r="E136" s="3"/>
      <c r="F136" s="3"/>
      <c r="G136" s="3"/>
    </row>
    <row r="137" spans="2:7">
      <c r="B137" s="14"/>
      <c r="C137" s="15"/>
      <c r="D137" s="3"/>
      <c r="E137" s="3"/>
      <c r="F137" s="3"/>
      <c r="G137" s="3"/>
    </row>
    <row r="138" spans="2:7">
      <c r="B138" s="14"/>
      <c r="C138" s="15"/>
      <c r="D138" s="3"/>
      <c r="E138" s="3"/>
      <c r="F138" s="3"/>
      <c r="G138" s="3"/>
    </row>
    <row r="139" spans="2:7">
      <c r="B139" s="14"/>
      <c r="C139" s="15"/>
      <c r="D139" s="3"/>
      <c r="E139" s="3"/>
      <c r="F139" s="3"/>
      <c r="G139" s="3"/>
    </row>
    <row r="140" spans="2:7">
      <c r="B140" s="14"/>
      <c r="C140" s="13"/>
      <c r="D140" s="12"/>
      <c r="E140" s="3"/>
      <c r="F140" s="3"/>
      <c r="G140" s="3"/>
    </row>
    <row r="141" spans="2:7">
      <c r="B141" s="3"/>
      <c r="C141" s="10"/>
      <c r="D141" s="12"/>
      <c r="E141" s="3"/>
      <c r="F141" s="3"/>
      <c r="G141" s="3"/>
    </row>
    <row r="142" spans="2:7">
      <c r="B142" s="2"/>
      <c r="C142" s="2"/>
      <c r="D142" s="2"/>
      <c r="E142" s="2"/>
      <c r="F142" s="2"/>
      <c r="G142" s="2"/>
    </row>
    <row r="143" spans="2:7" ht="14">
      <c r="B143" s="5"/>
      <c r="C143" s="4"/>
      <c r="D143" s="4"/>
      <c r="E143" s="4"/>
      <c r="F143" s="4"/>
      <c r="G143" s="2"/>
    </row>
    <row r="144" spans="2:7" ht="14">
      <c r="B144" s="5"/>
      <c r="C144" s="10"/>
      <c r="D144" s="9"/>
      <c r="E144" s="4"/>
      <c r="F144" s="4"/>
      <c r="G144" s="2"/>
    </row>
    <row r="145" spans="2:7" ht="14">
      <c r="B145" s="5"/>
      <c r="C145" s="11"/>
      <c r="D145" s="7"/>
      <c r="E145" s="4"/>
      <c r="F145" s="4"/>
      <c r="G145" s="2"/>
    </row>
    <row r="146" spans="2:7" ht="14">
      <c r="B146" s="5"/>
      <c r="C146" s="4"/>
      <c r="D146" s="4"/>
      <c r="E146" s="4"/>
      <c r="F146" s="4"/>
      <c r="G146" s="2"/>
    </row>
    <row r="147" spans="2:7" ht="14">
      <c r="B147" s="5"/>
      <c r="C147" s="4"/>
      <c r="D147" s="4"/>
      <c r="E147" s="6"/>
      <c r="F147" s="4"/>
      <c r="G147" s="2"/>
    </row>
    <row r="148" spans="2:7" ht="14">
      <c r="B148" s="5"/>
      <c r="C148" s="4"/>
      <c r="D148" s="4"/>
      <c r="E148" s="6"/>
      <c r="F148" s="4"/>
      <c r="G148" s="2"/>
    </row>
    <row r="149" spans="2:7" ht="14">
      <c r="B149" s="5"/>
      <c r="C149" s="4"/>
      <c r="D149" s="4"/>
      <c r="E149" s="6"/>
      <c r="F149" s="3"/>
      <c r="G149" s="2"/>
    </row>
    <row r="150" spans="2:7" ht="14">
      <c r="B150" s="5"/>
      <c r="C150" s="4"/>
      <c r="D150" s="4"/>
      <c r="E150" s="4"/>
      <c r="F150" s="3"/>
      <c r="G150" s="2"/>
    </row>
    <row r="151" spans="2:7">
      <c r="B151" s="2"/>
      <c r="C151" s="2"/>
      <c r="D151" s="2"/>
      <c r="E151" s="2"/>
      <c r="F151" s="2"/>
      <c r="G151" s="2"/>
    </row>
    <row r="152" spans="2:7" ht="14">
      <c r="B152" s="5"/>
      <c r="C152" s="4"/>
      <c r="D152" s="4"/>
      <c r="E152" s="4"/>
      <c r="F152" s="4"/>
      <c r="G152" s="2"/>
    </row>
    <row r="153" spans="2:7" ht="14">
      <c r="B153" s="5"/>
      <c r="C153" s="10"/>
      <c r="D153" s="9"/>
      <c r="E153" s="4"/>
      <c r="F153" s="4"/>
      <c r="G153" s="2"/>
    </row>
    <row r="154" spans="2:7" ht="14">
      <c r="B154" s="5"/>
      <c r="C154" s="8"/>
      <c r="D154" s="7"/>
      <c r="E154" s="4"/>
      <c r="F154" s="4"/>
      <c r="G154" s="2"/>
    </row>
    <row r="155" spans="2:7" ht="14">
      <c r="B155" s="5"/>
      <c r="C155" s="4"/>
      <c r="D155" s="4"/>
      <c r="E155" s="4"/>
      <c r="F155" s="4"/>
      <c r="G155" s="2"/>
    </row>
    <row r="156" spans="2:7" ht="14">
      <c r="B156" s="5"/>
      <c r="C156" s="4"/>
      <c r="D156" s="4"/>
      <c r="E156" s="6"/>
      <c r="F156" s="4"/>
      <c r="G156" s="2"/>
    </row>
    <row r="157" spans="2:7" ht="14">
      <c r="B157" s="5"/>
      <c r="C157" s="4"/>
      <c r="D157" s="4"/>
      <c r="E157" s="6"/>
      <c r="F157" s="4"/>
      <c r="G157" s="2"/>
    </row>
    <row r="158" spans="2:7" ht="14">
      <c r="B158" s="5"/>
      <c r="C158" s="4"/>
      <c r="D158" s="4"/>
      <c r="E158" s="6"/>
      <c r="F158" s="3"/>
      <c r="G158" s="2"/>
    </row>
    <row r="159" spans="2:7" ht="14">
      <c r="B159" s="5"/>
      <c r="C159" s="4"/>
      <c r="D159" s="4"/>
      <c r="E159" s="4"/>
      <c r="F159" s="3"/>
      <c r="G159" s="2"/>
    </row>
  </sheetData>
  <pageMargins left="0.75" right="0.75" top="1" bottom="1" header="0.5" footer="0.5"/>
  <pageSetup scale="72" fitToHeight="3" orientation="portrait" horizontalDpi="4294967294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4" workbookViewId="0">
      <selection activeCell="I7" sqref="I7"/>
    </sheetView>
  </sheetViews>
  <sheetFormatPr baseColWidth="10" defaultColWidth="8.83203125" defaultRowHeight="12" x14ac:dyDescent="0"/>
  <cols>
    <col min="1" max="1" width="14.5" style="14" bestFit="1" customWidth="1"/>
    <col min="2" max="2" width="14.5" style="3" bestFit="1" customWidth="1"/>
    <col min="3" max="4" width="12.6640625" style="3" bestFit="1" customWidth="1"/>
    <col min="5" max="5" width="14.5" style="3" bestFit="1" customWidth="1"/>
    <col min="6" max="6" width="8.83203125" style="3"/>
    <col min="7" max="7" width="15.5" style="3" bestFit="1" customWidth="1"/>
    <col min="8" max="8" width="16" style="3" bestFit="1" customWidth="1"/>
    <col min="9" max="9" width="17" style="3" bestFit="1" customWidth="1"/>
    <col min="10" max="10" width="19.6640625" style="3" bestFit="1" customWidth="1"/>
    <col min="11" max="11" width="8.83203125" style="3"/>
    <col min="12" max="12" width="15.5" style="3" bestFit="1" customWidth="1"/>
    <col min="13" max="13" width="14.1640625" style="3" bestFit="1" customWidth="1"/>
    <col min="14" max="14" width="17" style="3" bestFit="1" customWidth="1"/>
    <col min="15" max="15" width="16.6640625" style="3" bestFit="1" customWidth="1"/>
    <col min="16" max="16384" width="8.83203125" style="3"/>
  </cols>
  <sheetData>
    <row r="1" spans="1:15">
      <c r="A1" s="14" t="s">
        <v>73</v>
      </c>
    </row>
    <row r="3" spans="1:15">
      <c r="A3" s="14" t="s">
        <v>72</v>
      </c>
      <c r="B3" s="14" t="s">
        <v>62</v>
      </c>
    </row>
    <row r="5" spans="1:15">
      <c r="A5" s="14" t="s">
        <v>71</v>
      </c>
      <c r="B5" s="14" t="s">
        <v>69</v>
      </c>
      <c r="C5" s="29">
        <v>1600000</v>
      </c>
      <c r="D5" s="14"/>
      <c r="E5" s="26"/>
      <c r="L5" s="14"/>
      <c r="M5" s="13"/>
      <c r="N5" s="14"/>
      <c r="O5" s="31"/>
    </row>
    <row r="6" spans="1:15">
      <c r="B6" s="14" t="s">
        <v>68</v>
      </c>
      <c r="C6" s="29">
        <v>0</v>
      </c>
      <c r="D6" s="14" t="s">
        <v>67</v>
      </c>
      <c r="E6" s="14">
        <v>6</v>
      </c>
      <c r="L6" s="14"/>
      <c r="M6" s="13"/>
      <c r="N6" s="14"/>
    </row>
    <row r="7" spans="1:15">
      <c r="B7" s="14" t="s">
        <v>66</v>
      </c>
      <c r="C7" s="29">
        <v>0</v>
      </c>
      <c r="D7" s="14" t="s">
        <v>65</v>
      </c>
      <c r="E7" s="14">
        <v>6</v>
      </c>
      <c r="L7" s="14"/>
      <c r="M7" s="13"/>
      <c r="N7" s="14"/>
    </row>
    <row r="8" spans="1:15">
      <c r="B8" s="14"/>
      <c r="C8" s="29"/>
      <c r="D8" s="14"/>
      <c r="E8" s="14"/>
      <c r="L8" s="14"/>
      <c r="M8" s="13"/>
      <c r="N8" s="14"/>
    </row>
    <row r="9" spans="1:15">
      <c r="B9" s="14" t="s">
        <v>33</v>
      </c>
      <c r="C9" s="28" t="s">
        <v>64</v>
      </c>
      <c r="D9" s="28" t="s">
        <v>63</v>
      </c>
      <c r="E9" s="14" t="s">
        <v>62</v>
      </c>
      <c r="L9" s="14"/>
      <c r="M9" s="14"/>
      <c r="N9" s="14"/>
      <c r="O9" s="14"/>
    </row>
    <row r="10" spans="1:15">
      <c r="B10" s="14"/>
      <c r="C10" s="14"/>
      <c r="D10" s="14"/>
      <c r="E10" s="14"/>
      <c r="L10" s="14"/>
      <c r="M10" s="14"/>
      <c r="N10" s="14"/>
      <c r="O10" s="14"/>
    </row>
    <row r="11" spans="1:15">
      <c r="B11" s="14">
        <v>0</v>
      </c>
      <c r="C11" s="13"/>
      <c r="D11" s="13">
        <f>C$5-SUM(C$11:C11)</f>
        <v>1600000</v>
      </c>
      <c r="L11" s="14"/>
      <c r="M11" s="13"/>
      <c r="N11" s="13"/>
    </row>
    <row r="12" spans="1:15">
      <c r="B12" s="14">
        <v>1</v>
      </c>
      <c r="C12" s="13">
        <f>C$5*E12</f>
        <v>320000</v>
      </c>
      <c r="D12" s="13">
        <f>C$5-SUM(C$11:C12)</f>
        <v>1280000</v>
      </c>
      <c r="E12" s="26">
        <v>0.2</v>
      </c>
      <c r="L12" s="14"/>
      <c r="M12" s="13"/>
      <c r="N12" s="13"/>
      <c r="O12" s="26"/>
    </row>
    <row r="13" spans="1:15">
      <c r="B13" s="14">
        <v>2</v>
      </c>
      <c r="C13" s="13">
        <f>C$5*E13</f>
        <v>512000</v>
      </c>
      <c r="D13" s="13">
        <f>C$5-SUM(C$11:C13)</f>
        <v>768000</v>
      </c>
      <c r="E13" s="26">
        <v>0.32</v>
      </c>
      <c r="L13" s="14"/>
      <c r="M13" s="13"/>
      <c r="N13" s="13"/>
      <c r="O13" s="26"/>
    </row>
    <row r="14" spans="1:15">
      <c r="B14" s="14">
        <v>3</v>
      </c>
      <c r="C14" s="13">
        <f>C$5*E14</f>
        <v>307200</v>
      </c>
      <c r="D14" s="13">
        <f>C$5-SUM(C$12:C14)</f>
        <v>460800</v>
      </c>
      <c r="E14" s="26">
        <v>0.192</v>
      </c>
      <c r="L14" s="14"/>
      <c r="M14" s="13"/>
      <c r="N14" s="13"/>
      <c r="O14" s="26"/>
    </row>
    <row r="15" spans="1:15">
      <c r="B15" s="14">
        <v>4</v>
      </c>
      <c r="C15" s="13">
        <f>C$5*E15</f>
        <v>184320</v>
      </c>
      <c r="D15" s="13">
        <f>C$5-SUM(C$12:C15)</f>
        <v>276480</v>
      </c>
      <c r="E15" s="26">
        <v>0.1152</v>
      </c>
      <c r="L15" s="14"/>
      <c r="M15" s="13"/>
      <c r="N15" s="13"/>
      <c r="O15" s="26"/>
    </row>
    <row r="16" spans="1:15">
      <c r="B16" s="14">
        <v>5</v>
      </c>
      <c r="C16" s="13">
        <f>C$5*E16</f>
        <v>184320</v>
      </c>
      <c r="D16" s="13">
        <f>C$5-SUM(C$12:C16)</f>
        <v>92160</v>
      </c>
      <c r="E16" s="26">
        <v>0.1152</v>
      </c>
      <c r="L16" s="14"/>
      <c r="M16" s="13"/>
      <c r="N16" s="13"/>
      <c r="O16" s="26"/>
    </row>
    <row r="17" spans="1:15">
      <c r="B17" s="14">
        <v>6</v>
      </c>
      <c r="C17" s="13">
        <f>C$5*E17</f>
        <v>92160</v>
      </c>
      <c r="D17" s="13">
        <f>C$5-SUM(C$12:C17)</f>
        <v>0</v>
      </c>
      <c r="E17" s="26">
        <v>5.7599999999999998E-2</v>
      </c>
      <c r="G17" s="14"/>
      <c r="H17" s="13"/>
      <c r="I17" s="13"/>
      <c r="J17" s="26"/>
      <c r="L17" s="14"/>
      <c r="M17" s="13"/>
      <c r="N17" s="13"/>
      <c r="O17" s="26"/>
    </row>
    <row r="18" spans="1:15">
      <c r="B18" s="30"/>
      <c r="E18" s="30"/>
      <c r="G18" s="30"/>
      <c r="J18" s="30"/>
      <c r="L18" s="30"/>
      <c r="O18" s="30"/>
    </row>
    <row r="19" spans="1:15">
      <c r="B19" s="3" t="s">
        <v>61</v>
      </c>
      <c r="C19" s="13">
        <f>SUM(C12:C18)</f>
        <v>1600000</v>
      </c>
      <c r="E19" s="30"/>
      <c r="G19" s="30"/>
      <c r="J19" s="30"/>
      <c r="L19" s="30"/>
      <c r="M19" s="13"/>
      <c r="O19" s="30"/>
    </row>
    <row r="22" spans="1:15">
      <c r="A22" s="14" t="s">
        <v>70</v>
      </c>
      <c r="B22" s="14" t="s">
        <v>69</v>
      </c>
      <c r="C22" s="29">
        <v>1600000</v>
      </c>
      <c r="D22" s="14"/>
      <c r="E22" s="26"/>
    </row>
    <row r="23" spans="1:15">
      <c r="B23" s="14" t="s">
        <v>68</v>
      </c>
      <c r="C23" s="29">
        <v>0</v>
      </c>
      <c r="D23" s="14" t="s">
        <v>67</v>
      </c>
      <c r="E23" s="14">
        <v>6</v>
      </c>
    </row>
    <row r="24" spans="1:15">
      <c r="B24" s="14" t="s">
        <v>66</v>
      </c>
      <c r="C24" s="29">
        <v>0</v>
      </c>
      <c r="D24" s="14" t="s">
        <v>65</v>
      </c>
      <c r="E24" s="14">
        <v>3</v>
      </c>
    </row>
    <row r="25" spans="1:15">
      <c r="B25" s="14"/>
      <c r="C25" s="29"/>
      <c r="D25" s="14"/>
      <c r="E25" s="14"/>
    </row>
    <row r="26" spans="1:15">
      <c r="B26" s="14" t="s">
        <v>33</v>
      </c>
      <c r="C26" s="28" t="s">
        <v>64</v>
      </c>
      <c r="D26" s="28" t="s">
        <v>63</v>
      </c>
      <c r="E26" s="14" t="s">
        <v>62</v>
      </c>
    </row>
    <row r="27" spans="1:15">
      <c r="B27" s="14"/>
      <c r="C27" s="14"/>
      <c r="D27" s="14"/>
      <c r="E27" s="14"/>
    </row>
    <row r="28" spans="1:15">
      <c r="B28" s="14">
        <v>0</v>
      </c>
      <c r="C28" s="13"/>
      <c r="D28" s="13">
        <f>C$22-SUM(C$28:C28)</f>
        <v>1600000</v>
      </c>
    </row>
    <row r="29" spans="1:15">
      <c r="B29" s="14">
        <v>1</v>
      </c>
      <c r="C29" s="13">
        <f>C$22*E29</f>
        <v>320000</v>
      </c>
      <c r="D29" s="13">
        <f>C$22-SUM(C$28:C29)</f>
        <v>1280000</v>
      </c>
      <c r="E29" s="26">
        <v>0.2</v>
      </c>
    </row>
    <row r="30" spans="1:15">
      <c r="B30" s="14">
        <v>2</v>
      </c>
      <c r="C30" s="13">
        <f>C$22*E30</f>
        <v>512000</v>
      </c>
      <c r="D30" s="13">
        <f>C$22-SUM(C$28:C30)</f>
        <v>768000</v>
      </c>
      <c r="E30" s="26">
        <v>0.32</v>
      </c>
    </row>
    <row r="31" spans="1:15">
      <c r="B31" s="14">
        <v>3</v>
      </c>
      <c r="C31" s="13">
        <f>C$22*E31</f>
        <v>153600</v>
      </c>
      <c r="D31" s="13">
        <f>C$22-SUM(C$29:C31)</f>
        <v>614400</v>
      </c>
      <c r="E31" s="27">
        <v>9.6000000000000002E-2</v>
      </c>
    </row>
    <row r="32" spans="1:15">
      <c r="B32" s="14"/>
      <c r="D32" s="13"/>
      <c r="E32" s="26"/>
    </row>
    <row r="33" spans="2:5">
      <c r="B33" s="3" t="s">
        <v>61</v>
      </c>
      <c r="C33" s="13">
        <f>SUM(C29:C32)</f>
        <v>985600</v>
      </c>
      <c r="D33" s="13"/>
      <c r="E33" s="26"/>
    </row>
  </sheetData>
  <printOptions headings="1" gridLines="1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9"/>
  <sheetViews>
    <sheetView tabSelected="1" workbookViewId="0">
      <selection activeCell="E44" sqref="E44"/>
    </sheetView>
  </sheetViews>
  <sheetFormatPr baseColWidth="10" defaultColWidth="8.83203125" defaultRowHeight="12" x14ac:dyDescent="0"/>
  <cols>
    <col min="1" max="1" width="15.5" style="14" bestFit="1" customWidth="1"/>
    <col min="2" max="2" width="16.1640625" style="3" bestFit="1" customWidth="1"/>
    <col min="3" max="3" width="11.6640625" style="3" bestFit="1" customWidth="1"/>
    <col min="4" max="4" width="13.6640625" style="3" bestFit="1" customWidth="1"/>
    <col min="5" max="5" width="11.1640625" style="3" bestFit="1" customWidth="1"/>
    <col min="6" max="6" width="13.33203125" style="3" bestFit="1" customWidth="1"/>
    <col min="7" max="7" width="11.1640625" style="3" bestFit="1" customWidth="1"/>
    <col min="8" max="8" width="10.6640625" style="3" bestFit="1" customWidth="1"/>
    <col min="9" max="9" width="11.6640625" style="3" bestFit="1" customWidth="1"/>
    <col min="10" max="11" width="11.1640625" style="3" bestFit="1" customWidth="1"/>
    <col min="12" max="12" width="12.6640625" style="3" bestFit="1" customWidth="1"/>
    <col min="13" max="13" width="9.83203125" style="3" bestFit="1" customWidth="1"/>
    <col min="14" max="14" width="8.83203125" style="3"/>
    <col min="15" max="15" width="15.5" style="3" bestFit="1" customWidth="1"/>
    <col min="16" max="16" width="14.83203125" style="3" bestFit="1" customWidth="1"/>
    <col min="17" max="17" width="18.1640625" style="3" bestFit="1" customWidth="1"/>
    <col min="18" max="18" width="14.1640625" style="3" bestFit="1" customWidth="1"/>
    <col min="19" max="19" width="17" style="3" bestFit="1" customWidth="1"/>
    <col min="20" max="20" width="14.1640625" style="3" bestFit="1" customWidth="1"/>
    <col min="21" max="21" width="13.5" style="3" bestFit="1" customWidth="1"/>
    <col min="22" max="22" width="14.83203125" style="3" bestFit="1" customWidth="1"/>
    <col min="23" max="24" width="14.1640625" style="3" bestFit="1" customWidth="1"/>
    <col min="25" max="25" width="16" style="3" bestFit="1" customWidth="1"/>
    <col min="26" max="26" width="13.83203125" style="3" bestFit="1" customWidth="1"/>
    <col min="27" max="27" width="8.83203125" style="3"/>
    <col min="28" max="28" width="15.5" style="3" bestFit="1" customWidth="1"/>
    <col min="29" max="29" width="14.83203125" style="3" bestFit="1" customWidth="1"/>
    <col min="30" max="30" width="18.1640625" style="3" bestFit="1" customWidth="1"/>
    <col min="31" max="31" width="14.1640625" style="3" bestFit="1" customWidth="1"/>
    <col min="32" max="32" width="17" style="3" bestFit="1" customWidth="1"/>
    <col min="33" max="33" width="14.1640625" style="3" bestFit="1" customWidth="1"/>
    <col min="34" max="34" width="13.5" style="3" bestFit="1" customWidth="1"/>
    <col min="35" max="35" width="14.83203125" style="3" bestFit="1" customWidth="1"/>
    <col min="36" max="37" width="14.1640625" style="3" bestFit="1" customWidth="1"/>
    <col min="38" max="38" width="16" style="3" bestFit="1" customWidth="1"/>
    <col min="39" max="39" width="13.83203125" style="3" bestFit="1" customWidth="1"/>
    <col min="40" max="40" width="8.83203125" style="3"/>
    <col min="41" max="41" width="15.5" style="3" bestFit="1" customWidth="1"/>
    <col min="42" max="42" width="14.83203125" style="3" bestFit="1" customWidth="1"/>
    <col min="43" max="43" width="18.1640625" style="3" bestFit="1" customWidth="1"/>
    <col min="44" max="44" width="14.1640625" style="3" bestFit="1" customWidth="1"/>
    <col min="45" max="45" width="17" style="3" bestFit="1" customWidth="1"/>
    <col min="46" max="46" width="14.1640625" style="3" bestFit="1" customWidth="1"/>
    <col min="47" max="47" width="13.5" style="3" bestFit="1" customWidth="1"/>
    <col min="48" max="48" width="14.83203125" style="3" bestFit="1" customWidth="1"/>
    <col min="49" max="50" width="14.1640625" style="3" bestFit="1" customWidth="1"/>
    <col min="51" max="51" width="16" style="3" bestFit="1" customWidth="1"/>
    <col min="52" max="52" width="13.83203125" style="3" bestFit="1" customWidth="1"/>
    <col min="53" max="16384" width="8.83203125" style="3"/>
  </cols>
  <sheetData>
    <row r="1" spans="1:13">
      <c r="A1" s="14" t="s">
        <v>103</v>
      </c>
    </row>
    <row r="3" spans="1:13">
      <c r="A3" s="14" t="s">
        <v>72</v>
      </c>
      <c r="B3" s="14" t="s">
        <v>102</v>
      </c>
      <c r="C3" s="14"/>
      <c r="D3" s="14"/>
      <c r="E3" s="14"/>
      <c r="F3" s="14"/>
      <c r="G3" s="14"/>
      <c r="H3" s="14"/>
      <c r="I3" s="14"/>
    </row>
    <row r="4" spans="1:13">
      <c r="B4" s="14" t="s">
        <v>69</v>
      </c>
      <c r="C4" s="29">
        <v>850000</v>
      </c>
      <c r="D4" s="14" t="s">
        <v>97</v>
      </c>
      <c r="E4" s="29">
        <v>425000</v>
      </c>
      <c r="F4" s="14" t="s">
        <v>96</v>
      </c>
      <c r="G4" s="29">
        <v>275000</v>
      </c>
      <c r="H4" s="14" t="s">
        <v>95</v>
      </c>
      <c r="I4" s="26">
        <v>0.4</v>
      </c>
      <c r="J4" s="31"/>
      <c r="K4" s="31"/>
    </row>
    <row r="5" spans="1:13">
      <c r="B5" s="14" t="s">
        <v>68</v>
      </c>
      <c r="C5" s="29">
        <v>0</v>
      </c>
      <c r="D5" s="14" t="s">
        <v>94</v>
      </c>
      <c r="E5" s="14">
        <v>5</v>
      </c>
      <c r="F5" s="14" t="s">
        <v>67</v>
      </c>
      <c r="G5" s="14">
        <v>8</v>
      </c>
      <c r="H5" s="14" t="s">
        <v>93</v>
      </c>
      <c r="I5" s="26">
        <v>0.1</v>
      </c>
      <c r="J5" s="31"/>
      <c r="K5" s="31"/>
    </row>
    <row r="6" spans="1:13">
      <c r="B6" s="14" t="s">
        <v>66</v>
      </c>
      <c r="C6" s="29">
        <v>0</v>
      </c>
      <c r="D6" s="14" t="s">
        <v>92</v>
      </c>
      <c r="E6" s="26">
        <v>0.11</v>
      </c>
      <c r="F6" s="14" t="s">
        <v>65</v>
      </c>
      <c r="G6" s="14">
        <v>8</v>
      </c>
      <c r="H6" s="14" t="s">
        <v>91</v>
      </c>
      <c r="I6" s="37">
        <v>1</v>
      </c>
      <c r="J6" s="36"/>
      <c r="K6" s="36"/>
    </row>
    <row r="7" spans="1:13">
      <c r="B7" s="14"/>
      <c r="C7" s="13"/>
      <c r="D7" s="14"/>
      <c r="E7" s="31"/>
      <c r="F7" s="14"/>
      <c r="H7" s="14"/>
      <c r="I7" s="36"/>
      <c r="J7" s="36"/>
      <c r="K7" s="36"/>
    </row>
    <row r="8" spans="1:13">
      <c r="B8" s="14" t="s">
        <v>33</v>
      </c>
      <c r="C8" s="14" t="s">
        <v>90</v>
      </c>
      <c r="D8" s="14" t="s">
        <v>89</v>
      </c>
      <c r="E8" s="14" t="s">
        <v>88</v>
      </c>
      <c r="F8" s="14" t="s">
        <v>87</v>
      </c>
      <c r="G8" s="14" t="s">
        <v>86</v>
      </c>
      <c r="H8" s="14" t="s">
        <v>85</v>
      </c>
      <c r="I8" s="14" t="s">
        <v>82</v>
      </c>
      <c r="J8" s="14" t="s">
        <v>84</v>
      </c>
      <c r="K8" s="14" t="s">
        <v>83</v>
      </c>
      <c r="L8" s="14" t="s">
        <v>82</v>
      </c>
      <c r="M8" s="14" t="s">
        <v>81</v>
      </c>
    </row>
    <row r="9" spans="1:13">
      <c r="B9" s="14">
        <v>0</v>
      </c>
      <c r="C9" s="13">
        <f>-C$4</f>
        <v>-850000</v>
      </c>
      <c r="D9" s="13">
        <f>-E$4</f>
        <v>-425000</v>
      </c>
      <c r="E9" s="13"/>
      <c r="F9" s="13"/>
      <c r="G9" s="13"/>
      <c r="H9" s="13"/>
      <c r="I9" s="13">
        <f>C9-D9-E9-H9</f>
        <v>-425000</v>
      </c>
      <c r="J9" s="13">
        <f>IF(I9&lt;0,0,I9)</f>
        <v>0</v>
      </c>
      <c r="K9" s="13">
        <f>IF(I9&lt;0,-I9,0)</f>
        <v>425000</v>
      </c>
      <c r="L9" s="13">
        <f>-K9</f>
        <v>-425000</v>
      </c>
    </row>
    <row r="10" spans="1:13">
      <c r="B10" s="14">
        <v>1</v>
      </c>
      <c r="C10" s="13">
        <f>G$4</f>
        <v>275000</v>
      </c>
      <c r="D10" s="13">
        <v>0</v>
      </c>
      <c r="E10" s="13">
        <f>E$4*E$6</f>
        <v>46750</v>
      </c>
      <c r="F10" s="13">
        <f>C$4*M10</f>
        <v>121465</v>
      </c>
      <c r="G10" s="13">
        <f>C10-E10-F10</f>
        <v>106785</v>
      </c>
      <c r="H10" s="13">
        <f>I$4*G10</f>
        <v>42714</v>
      </c>
      <c r="I10" s="13">
        <f>C10-D10-E10-H10</f>
        <v>185536</v>
      </c>
      <c r="J10" s="13">
        <f>IF(I10&lt;0,0,I10)</f>
        <v>185536</v>
      </c>
      <c r="K10" s="13">
        <f>IF(I10&lt;0,-I10,0)</f>
        <v>0</v>
      </c>
      <c r="L10" s="13">
        <f>-K10</f>
        <v>0</v>
      </c>
      <c r="M10" s="26">
        <v>0.1429</v>
      </c>
    </row>
    <row r="11" spans="1:13">
      <c r="B11" s="14">
        <v>2</v>
      </c>
      <c r="C11" s="13">
        <f>G$4</f>
        <v>275000</v>
      </c>
      <c r="D11" s="13">
        <v>0</v>
      </c>
      <c r="E11" s="13">
        <f>E$4*E$6</f>
        <v>46750</v>
      </c>
      <c r="F11" s="13">
        <f>C$4*M11</f>
        <v>208165</v>
      </c>
      <c r="G11" s="13">
        <f>C11-E11-F11</f>
        <v>20085</v>
      </c>
      <c r="H11" s="13">
        <f>I$4*G11</f>
        <v>8034</v>
      </c>
      <c r="I11" s="13">
        <f>C11-D11-E11-H11</f>
        <v>220216</v>
      </c>
      <c r="J11" s="13">
        <f>IF(I11&lt;0,0,I11)</f>
        <v>220216</v>
      </c>
      <c r="K11" s="13">
        <f>IF(I11&lt;0,-I11,0)</f>
        <v>0</v>
      </c>
      <c r="L11" s="13">
        <f>-K11</f>
        <v>0</v>
      </c>
      <c r="M11" s="26">
        <v>0.24490000000000001</v>
      </c>
    </row>
    <row r="12" spans="1:13">
      <c r="B12" s="14">
        <v>3</v>
      </c>
      <c r="C12" s="13">
        <f>G$4</f>
        <v>275000</v>
      </c>
      <c r="D12" s="13">
        <v>0</v>
      </c>
      <c r="E12" s="13">
        <f>E$4*E$6</f>
        <v>46750</v>
      </c>
      <c r="F12" s="13">
        <f>C$4*M12</f>
        <v>148665</v>
      </c>
      <c r="G12" s="13">
        <f>C12-E12-F12</f>
        <v>79585</v>
      </c>
      <c r="H12" s="13">
        <f>I$4*G12</f>
        <v>31834</v>
      </c>
      <c r="I12" s="13">
        <f>C12-D12-E12-H12</f>
        <v>196416</v>
      </c>
      <c r="J12" s="13">
        <f>IF(I12&lt;0,0,I12)</f>
        <v>196416</v>
      </c>
      <c r="K12" s="13">
        <f>IF(I12&lt;0,-I12,0)</f>
        <v>0</v>
      </c>
      <c r="L12" s="13">
        <f>-K12</f>
        <v>0</v>
      </c>
      <c r="M12" s="26">
        <v>0.1749</v>
      </c>
    </row>
    <row r="13" spans="1:13">
      <c r="B13" s="14">
        <v>4</v>
      </c>
      <c r="C13" s="13">
        <f>G$4</f>
        <v>275000</v>
      </c>
      <c r="D13" s="13">
        <v>0</v>
      </c>
      <c r="E13" s="13">
        <f>E$4*E$6</f>
        <v>46750</v>
      </c>
      <c r="F13" s="13">
        <f>C$4*M13</f>
        <v>106165</v>
      </c>
      <c r="G13" s="13">
        <f>C13-E13-F13</f>
        <v>122085</v>
      </c>
      <c r="H13" s="13">
        <f>I$4*G13</f>
        <v>48834</v>
      </c>
      <c r="I13" s="13">
        <f>C13-D13-E13-H13</f>
        <v>179416</v>
      </c>
      <c r="J13" s="13">
        <f>IF(I13&lt;0,0,I13)</f>
        <v>179416</v>
      </c>
      <c r="K13" s="13">
        <f>IF(I13&lt;0,-I13,0)</f>
        <v>0</v>
      </c>
      <c r="L13" s="13">
        <f>-K13</f>
        <v>0</v>
      </c>
      <c r="M13" s="26">
        <v>0.1249</v>
      </c>
    </row>
    <row r="14" spans="1:13">
      <c r="B14" s="14">
        <v>5</v>
      </c>
      <c r="C14" s="13">
        <f>G$4</f>
        <v>275000</v>
      </c>
      <c r="D14" s="13">
        <v>425000</v>
      </c>
      <c r="E14" s="13">
        <f>E$4*E$6</f>
        <v>46750</v>
      </c>
      <c r="F14" s="13">
        <f>C$4*M14</f>
        <v>75905</v>
      </c>
      <c r="G14" s="13">
        <f>C14-E14-F14</f>
        <v>152345</v>
      </c>
      <c r="H14" s="13">
        <f>I$4*G14</f>
        <v>60938</v>
      </c>
      <c r="I14" s="13">
        <f>C14-D14-E14-H14</f>
        <v>-257688</v>
      </c>
      <c r="J14" s="13">
        <f>IF(I14&lt;0,0,I14)</f>
        <v>0</v>
      </c>
      <c r="K14" s="13">
        <f>IF(I14&lt;0,-I14,0)</f>
        <v>257688</v>
      </c>
      <c r="L14" s="13">
        <f>-K14</f>
        <v>-257688</v>
      </c>
      <c r="M14" s="26">
        <v>8.9300000000000004E-2</v>
      </c>
    </row>
    <row r="15" spans="1:13">
      <c r="B15" s="14">
        <v>6</v>
      </c>
      <c r="C15" s="13">
        <f>G$4</f>
        <v>275000</v>
      </c>
      <c r="D15" s="13">
        <v>0</v>
      </c>
      <c r="E15" s="13">
        <v>0</v>
      </c>
      <c r="F15" s="13">
        <f>C$4*M15</f>
        <v>75820</v>
      </c>
      <c r="G15" s="13">
        <f>C15-E15-F15</f>
        <v>199180</v>
      </c>
      <c r="H15" s="13">
        <f>I$4*G15</f>
        <v>79672</v>
      </c>
      <c r="I15" s="13">
        <f>C15-D15-E15-H15</f>
        <v>195328</v>
      </c>
      <c r="J15" s="13">
        <f>IF(I15&lt;0,0,I15)</f>
        <v>195328</v>
      </c>
      <c r="K15" s="13">
        <f>IF(I15&lt;0,-I15,0)</f>
        <v>0</v>
      </c>
      <c r="L15" s="13">
        <f>-K15</f>
        <v>0</v>
      </c>
      <c r="M15" s="26">
        <v>8.9200000000000002E-2</v>
      </c>
    </row>
    <row r="16" spans="1:13">
      <c r="B16" s="14">
        <v>7</v>
      </c>
      <c r="C16" s="13">
        <f>G$4</f>
        <v>275000</v>
      </c>
      <c r="D16" s="13">
        <v>0</v>
      </c>
      <c r="E16" s="13">
        <v>0</v>
      </c>
      <c r="F16" s="13">
        <f>C$4*M16</f>
        <v>75905</v>
      </c>
      <c r="G16" s="13">
        <f>C16-E16-F16</f>
        <v>199095</v>
      </c>
      <c r="H16" s="13">
        <f>I$4*G16</f>
        <v>79638</v>
      </c>
      <c r="I16" s="13">
        <f>C16-D16-E16-H16</f>
        <v>195362</v>
      </c>
      <c r="J16" s="13">
        <f>IF(I16&lt;0,0,I16)</f>
        <v>195362</v>
      </c>
      <c r="K16" s="13">
        <f>IF(I16&lt;0,-I16,0)</f>
        <v>0</v>
      </c>
      <c r="L16" s="13">
        <f>-K16</f>
        <v>0</v>
      </c>
      <c r="M16" s="26">
        <v>8.9300000000000004E-2</v>
      </c>
    </row>
    <row r="17" spans="1:50">
      <c r="B17" s="14">
        <v>8</v>
      </c>
      <c r="C17" s="13">
        <f>G$4+C$6</f>
        <v>275000</v>
      </c>
      <c r="D17" s="13">
        <v>0</v>
      </c>
      <c r="E17" s="13">
        <v>0</v>
      </c>
      <c r="F17" s="13">
        <f>C$4*M17</f>
        <v>37910</v>
      </c>
      <c r="G17" s="13">
        <f>C17-E17-F17-F21</f>
        <v>237090</v>
      </c>
      <c r="H17" s="13">
        <f>I$4*G17</f>
        <v>94836</v>
      </c>
      <c r="I17" s="13">
        <f>C17-D17-E17-H17</f>
        <v>180164</v>
      </c>
      <c r="J17" s="13">
        <f>IF(I17&lt;0,0,I17)</f>
        <v>180164</v>
      </c>
      <c r="K17" s="13">
        <f>IF(I17&lt;0,-I17,0)</f>
        <v>0</v>
      </c>
      <c r="L17" s="13">
        <f>FV(I$18,G$6,,-NPV(I$18,J$10:J$17))-K17</f>
        <v>1962105.2308016005</v>
      </c>
      <c r="M17" s="26">
        <v>4.4600000000000001E-2</v>
      </c>
    </row>
    <row r="18" spans="1:50">
      <c r="B18" s="14"/>
      <c r="C18" s="35"/>
      <c r="D18" s="35"/>
      <c r="E18" s="35"/>
      <c r="F18" s="14" t="s">
        <v>61</v>
      </c>
      <c r="G18" s="13"/>
      <c r="H18" s="30" t="s">
        <v>80</v>
      </c>
      <c r="I18" s="34">
        <f>I$5</f>
        <v>0.1</v>
      </c>
      <c r="J18" s="34"/>
      <c r="K18" s="34"/>
      <c r="L18" s="13"/>
    </row>
    <row r="19" spans="1:50">
      <c r="B19" s="30"/>
      <c r="C19" s="32"/>
      <c r="D19" s="32"/>
      <c r="E19" s="32"/>
      <c r="F19" s="33">
        <f>SUM(F10:F17)</f>
        <v>850000</v>
      </c>
      <c r="G19" s="13"/>
      <c r="H19" s="30" t="s">
        <v>79</v>
      </c>
      <c r="I19" s="13">
        <f>NPV(I18,I10:I17)+I9</f>
        <v>330332.59702060081</v>
      </c>
      <c r="J19" s="32"/>
      <c r="K19" s="32"/>
      <c r="L19" s="13"/>
    </row>
    <row r="20" spans="1:50">
      <c r="B20" s="30"/>
      <c r="C20" s="32"/>
      <c r="D20" s="32"/>
      <c r="E20" s="32"/>
      <c r="F20" s="3" t="s">
        <v>78</v>
      </c>
      <c r="H20" s="30" t="s">
        <v>77</v>
      </c>
      <c r="I20" s="13">
        <f>FV(I18,G$6,,-I19)</f>
        <v>708097.25855159957</v>
      </c>
      <c r="J20" s="32"/>
      <c r="K20" s="32"/>
      <c r="L20" s="13"/>
    </row>
    <row r="21" spans="1:50">
      <c r="B21" s="30"/>
      <c r="C21" s="32"/>
      <c r="D21" s="32"/>
      <c r="E21" s="32"/>
      <c r="F21" s="13">
        <f>C$4-F19</f>
        <v>0</v>
      </c>
      <c r="H21" s="30" t="s">
        <v>76</v>
      </c>
      <c r="I21" s="13">
        <f>PMT(I18,G$6,-I19)</f>
        <v>61918.869121463271</v>
      </c>
      <c r="J21" s="32"/>
      <c r="K21" s="32"/>
      <c r="L21" s="13"/>
    </row>
    <row r="22" spans="1:50">
      <c r="B22" s="30"/>
      <c r="C22" s="31"/>
      <c r="D22" s="31"/>
      <c r="E22" s="31"/>
      <c r="H22" s="30" t="s">
        <v>75</v>
      </c>
      <c r="I22" s="31">
        <f>IRR(I9:I17)</f>
        <v>0.327756718658063</v>
      </c>
      <c r="J22" s="31"/>
      <c r="K22" s="31"/>
      <c r="L22" s="13"/>
    </row>
    <row r="23" spans="1:50">
      <c r="B23" s="30"/>
      <c r="C23" s="31"/>
      <c r="D23" s="31"/>
      <c r="E23" s="31"/>
      <c r="H23" s="30" t="s">
        <v>74</v>
      </c>
      <c r="I23" s="31">
        <f>IRR(L9:L17)</f>
        <v>0.17499278503777704</v>
      </c>
      <c r="J23" s="31"/>
      <c r="K23" s="31"/>
      <c r="L23" s="13"/>
    </row>
    <row r="24" spans="1:50">
      <c r="J24" s="31"/>
      <c r="K24" s="31"/>
      <c r="W24" s="31"/>
      <c r="X24" s="31"/>
      <c r="AJ24" s="31"/>
      <c r="AK24" s="31"/>
      <c r="AW24" s="31"/>
      <c r="AX24" s="31"/>
    </row>
    <row r="25" spans="1:50">
      <c r="A25" s="14" t="s">
        <v>71</v>
      </c>
      <c r="B25" s="14" t="s">
        <v>101</v>
      </c>
      <c r="C25" s="14"/>
      <c r="D25" s="14"/>
      <c r="E25" s="14"/>
      <c r="F25" s="14"/>
      <c r="G25" s="14"/>
      <c r="H25" s="14"/>
      <c r="I25" s="14"/>
    </row>
    <row r="26" spans="1:50">
      <c r="B26" s="14" t="s">
        <v>69</v>
      </c>
      <c r="C26" s="29">
        <v>850000</v>
      </c>
      <c r="D26" s="14" t="s">
        <v>97</v>
      </c>
      <c r="E26" s="29">
        <v>425000</v>
      </c>
      <c r="F26" s="14" t="s">
        <v>96</v>
      </c>
      <c r="G26" s="29">
        <v>275000</v>
      </c>
      <c r="H26" s="14" t="s">
        <v>95</v>
      </c>
      <c r="I26" s="26">
        <v>0.4</v>
      </c>
      <c r="J26" s="31"/>
      <c r="K26" s="31"/>
    </row>
    <row r="27" spans="1:50">
      <c r="B27" s="14" t="s">
        <v>68</v>
      </c>
      <c r="C27" s="29">
        <v>0</v>
      </c>
      <c r="D27" s="14" t="s">
        <v>94</v>
      </c>
      <c r="E27" s="14">
        <v>5</v>
      </c>
      <c r="F27" s="14" t="s">
        <v>67</v>
      </c>
      <c r="G27" s="14">
        <v>8</v>
      </c>
      <c r="H27" s="14" t="s">
        <v>93</v>
      </c>
      <c r="I27" s="26">
        <v>0.1</v>
      </c>
      <c r="J27" s="31"/>
      <c r="K27" s="31"/>
    </row>
    <row r="28" spans="1:50">
      <c r="B28" s="14" t="s">
        <v>66</v>
      </c>
      <c r="C28" s="29">
        <v>0</v>
      </c>
      <c r="D28" s="14" t="s">
        <v>92</v>
      </c>
      <c r="E28" s="26">
        <v>0.11</v>
      </c>
      <c r="F28" s="14" t="s">
        <v>65</v>
      </c>
      <c r="G28" s="14">
        <v>8</v>
      </c>
      <c r="H28" s="14" t="s">
        <v>91</v>
      </c>
      <c r="I28" s="37">
        <v>2</v>
      </c>
      <c r="J28" s="36"/>
      <c r="K28" s="36"/>
    </row>
    <row r="29" spans="1:50">
      <c r="B29" s="14"/>
      <c r="C29" s="13"/>
      <c r="D29" s="14"/>
      <c r="E29" s="31"/>
      <c r="F29" s="14"/>
      <c r="H29" s="14"/>
      <c r="I29" s="36"/>
      <c r="J29" s="36"/>
      <c r="K29" s="36"/>
    </row>
    <row r="30" spans="1:50">
      <c r="B30" s="14" t="s">
        <v>33</v>
      </c>
      <c r="C30" s="14" t="s">
        <v>90</v>
      </c>
      <c r="D30" s="14" t="s">
        <v>89</v>
      </c>
      <c r="E30" s="14" t="s">
        <v>88</v>
      </c>
      <c r="F30" s="14" t="s">
        <v>87</v>
      </c>
      <c r="G30" s="14" t="s">
        <v>86</v>
      </c>
      <c r="H30" s="14" t="s">
        <v>85</v>
      </c>
      <c r="I30" s="14" t="s">
        <v>82</v>
      </c>
      <c r="J30" s="14" t="s">
        <v>84</v>
      </c>
      <c r="K30" s="14" t="s">
        <v>83</v>
      </c>
      <c r="L30" s="14" t="s">
        <v>82</v>
      </c>
      <c r="M30" s="14" t="s">
        <v>81</v>
      </c>
    </row>
    <row r="31" spans="1:50">
      <c r="B31" s="14">
        <v>0</v>
      </c>
      <c r="C31" s="13">
        <f>-C$26</f>
        <v>-850000</v>
      </c>
      <c r="D31" s="13">
        <f>-E$26</f>
        <v>-425000</v>
      </c>
      <c r="E31" s="13"/>
      <c r="F31" s="13"/>
      <c r="G31" s="13"/>
      <c r="H31" s="13"/>
      <c r="I31" s="13">
        <f>C31-D31-E31-H31</f>
        <v>-425000</v>
      </c>
      <c r="J31" s="13">
        <f>IF(I31&lt;0,0,I31)</f>
        <v>0</v>
      </c>
      <c r="K31" s="13">
        <f>IF(I31&lt;0,-I31,0)</f>
        <v>425000</v>
      </c>
      <c r="L31" s="13">
        <f>-K31</f>
        <v>-425000</v>
      </c>
    </row>
    <row r="32" spans="1:50">
      <c r="B32" s="14">
        <v>1</v>
      </c>
      <c r="C32" s="13">
        <f>G$26</f>
        <v>275000</v>
      </c>
      <c r="D32" s="13">
        <f>E$26/E$27</f>
        <v>85000</v>
      </c>
      <c r="E32" s="13">
        <f>(-D$31-B31*E$26/E$27)*E$28</f>
        <v>46750</v>
      </c>
      <c r="F32" s="13">
        <f>C$26*M32</f>
        <v>121465</v>
      </c>
      <c r="G32" s="13">
        <f>C32-E32-F32</f>
        <v>106785</v>
      </c>
      <c r="H32" s="13">
        <f>I$26*G32</f>
        <v>42714</v>
      </c>
      <c r="I32" s="13">
        <f>C32-D32-E32-H32</f>
        <v>100536</v>
      </c>
      <c r="J32" s="13">
        <f>IF(I32&lt;0,0,I32)</f>
        <v>100536</v>
      </c>
      <c r="K32" s="13">
        <f>IF(I32&lt;0,-I32,0)</f>
        <v>0</v>
      </c>
      <c r="L32" s="13">
        <f>-K32</f>
        <v>0</v>
      </c>
      <c r="M32" s="26">
        <v>0.1429</v>
      </c>
    </row>
    <row r="33" spans="1:13">
      <c r="B33" s="14">
        <v>2</v>
      </c>
      <c r="C33" s="13">
        <f>G$26</f>
        <v>275000</v>
      </c>
      <c r="D33" s="13">
        <f>E$26/E$27</f>
        <v>85000</v>
      </c>
      <c r="E33" s="13">
        <f>(-D$31-B32*E$26/E$27)*E$28</f>
        <v>37400</v>
      </c>
      <c r="F33" s="13">
        <f>C$26*M33</f>
        <v>208165</v>
      </c>
      <c r="G33" s="13">
        <f>C33-E33-F33</f>
        <v>29435</v>
      </c>
      <c r="H33" s="13">
        <f>I$26*G33</f>
        <v>11774</v>
      </c>
      <c r="I33" s="13">
        <f>C33-D33-E33-H33</f>
        <v>140826</v>
      </c>
      <c r="J33" s="13">
        <f>IF(I33&lt;0,0,I33)</f>
        <v>140826</v>
      </c>
      <c r="K33" s="13">
        <f>IF(I33&lt;0,-I33,0)</f>
        <v>0</v>
      </c>
      <c r="L33" s="13">
        <f>-K33</f>
        <v>0</v>
      </c>
      <c r="M33" s="26">
        <v>0.24490000000000001</v>
      </c>
    </row>
    <row r="34" spans="1:13">
      <c r="B34" s="14">
        <v>3</v>
      </c>
      <c r="C34" s="13">
        <f>G$26</f>
        <v>275000</v>
      </c>
      <c r="D34" s="13">
        <f>E$26/E$27</f>
        <v>85000</v>
      </c>
      <c r="E34" s="13">
        <f>(-D$31-B33*E$26/E$27)*E$28</f>
        <v>28050</v>
      </c>
      <c r="F34" s="13">
        <f>C$26*M34</f>
        <v>148665</v>
      </c>
      <c r="G34" s="13">
        <f>C34-E34-F34</f>
        <v>98285</v>
      </c>
      <c r="H34" s="13">
        <f>I$26*G34</f>
        <v>39314</v>
      </c>
      <c r="I34" s="13">
        <f>C34-D34-E34-H34</f>
        <v>122636</v>
      </c>
      <c r="J34" s="13">
        <f>IF(I34&lt;0,0,I34)</f>
        <v>122636</v>
      </c>
      <c r="K34" s="13">
        <f>IF(I34&lt;0,-I34,0)</f>
        <v>0</v>
      </c>
      <c r="L34" s="13">
        <f>-K34</f>
        <v>0</v>
      </c>
      <c r="M34" s="26">
        <v>0.1749</v>
      </c>
    </row>
    <row r="35" spans="1:13">
      <c r="B35" s="14">
        <v>4</v>
      </c>
      <c r="C35" s="13">
        <f>G$26</f>
        <v>275000</v>
      </c>
      <c r="D35" s="13">
        <f>E$26/E$27</f>
        <v>85000</v>
      </c>
      <c r="E35" s="13">
        <f>(-D$31-B34*E$26/E$27)*E$28</f>
        <v>18700</v>
      </c>
      <c r="F35" s="13">
        <f>C$26*M35</f>
        <v>106165</v>
      </c>
      <c r="G35" s="13">
        <f>C35-E35-F35</f>
        <v>150135</v>
      </c>
      <c r="H35" s="13">
        <f>I$26*G35</f>
        <v>60054</v>
      </c>
      <c r="I35" s="13">
        <f>C35-D35-E35-H35</f>
        <v>111246</v>
      </c>
      <c r="J35" s="13">
        <f>IF(I35&lt;0,0,I35)</f>
        <v>111246</v>
      </c>
      <c r="K35" s="13">
        <f>IF(I35&lt;0,-I35,0)</f>
        <v>0</v>
      </c>
      <c r="L35" s="13">
        <f>-K35</f>
        <v>0</v>
      </c>
      <c r="M35" s="26">
        <v>0.1249</v>
      </c>
    </row>
    <row r="36" spans="1:13">
      <c r="B36" s="14">
        <v>5</v>
      </c>
      <c r="C36" s="13">
        <f>G$26</f>
        <v>275000</v>
      </c>
      <c r="D36" s="13">
        <f>E$26/E$27</f>
        <v>85000</v>
      </c>
      <c r="E36" s="13">
        <f>(-D$31-B35*E$26/E$27)*E$28</f>
        <v>9350</v>
      </c>
      <c r="F36" s="13">
        <f>C$26*M36</f>
        <v>75905</v>
      </c>
      <c r="G36" s="13">
        <f>C36-E36-F36</f>
        <v>189745</v>
      </c>
      <c r="H36" s="13">
        <f>I$26*G36</f>
        <v>75898</v>
      </c>
      <c r="I36" s="13">
        <f>C36-D36-E36-H36</f>
        <v>104752</v>
      </c>
      <c r="J36" s="13">
        <f>IF(I36&lt;0,0,I36)</f>
        <v>104752</v>
      </c>
      <c r="K36" s="13">
        <f>IF(I36&lt;0,-I36,0)</f>
        <v>0</v>
      </c>
      <c r="L36" s="13">
        <f>-K36</f>
        <v>0</v>
      </c>
      <c r="M36" s="26">
        <v>8.9300000000000004E-2</v>
      </c>
    </row>
    <row r="37" spans="1:13">
      <c r="B37" s="14">
        <v>6</v>
      </c>
      <c r="C37" s="13">
        <f>G$26</f>
        <v>275000</v>
      </c>
      <c r="D37" s="13">
        <v>0</v>
      </c>
      <c r="E37" s="13">
        <f>(-D$31-B36*E$26/E$27)*E$28</f>
        <v>0</v>
      </c>
      <c r="F37" s="13">
        <f>C$26*M37</f>
        <v>75820</v>
      </c>
      <c r="G37" s="13">
        <f>C37-E37-F37</f>
        <v>199180</v>
      </c>
      <c r="H37" s="13">
        <f>I$26*G37</f>
        <v>79672</v>
      </c>
      <c r="I37" s="13">
        <f>C37-D37-E37-H37</f>
        <v>195328</v>
      </c>
      <c r="J37" s="13">
        <f>IF(I37&lt;0,0,I37)</f>
        <v>195328</v>
      </c>
      <c r="K37" s="13">
        <f>IF(I37&lt;0,-I37,0)</f>
        <v>0</v>
      </c>
      <c r="L37" s="13">
        <f>-K37</f>
        <v>0</v>
      </c>
      <c r="M37" s="26">
        <v>8.9200000000000002E-2</v>
      </c>
    </row>
    <row r="38" spans="1:13">
      <c r="B38" s="14">
        <v>7</v>
      </c>
      <c r="C38" s="13">
        <f>G$26</f>
        <v>275000</v>
      </c>
      <c r="D38" s="13">
        <v>0</v>
      </c>
      <c r="E38" s="13">
        <v>0</v>
      </c>
      <c r="F38" s="13">
        <f>C$26*M38</f>
        <v>75905</v>
      </c>
      <c r="G38" s="13">
        <f>C38-E38-F38</f>
        <v>199095</v>
      </c>
      <c r="H38" s="13">
        <f>I$26*G38</f>
        <v>79638</v>
      </c>
      <c r="I38" s="13">
        <f>C38-D38-E38-H38</f>
        <v>195362</v>
      </c>
      <c r="J38" s="13">
        <f>IF(I38&lt;0,0,I38)</f>
        <v>195362</v>
      </c>
      <c r="K38" s="13">
        <f>IF(I38&lt;0,-I38,0)</f>
        <v>0</v>
      </c>
      <c r="L38" s="13">
        <f>-K38</f>
        <v>0</v>
      </c>
      <c r="M38" s="26">
        <v>8.9300000000000004E-2</v>
      </c>
    </row>
    <row r="39" spans="1:13">
      <c r="B39" s="14">
        <v>8</v>
      </c>
      <c r="C39" s="13">
        <f>G$26+C$28</f>
        <v>275000</v>
      </c>
      <c r="D39" s="13">
        <v>0</v>
      </c>
      <c r="E39" s="13">
        <v>0</v>
      </c>
      <c r="F39" s="13">
        <f>C$26*M39</f>
        <v>37910</v>
      </c>
      <c r="G39" s="13">
        <f>C39-E39-F39-F43</f>
        <v>237090</v>
      </c>
      <c r="H39" s="13">
        <f>I$26*G39</f>
        <v>94836</v>
      </c>
      <c r="I39" s="13">
        <f>C39-D39-E39-H39</f>
        <v>180164</v>
      </c>
      <c r="J39" s="13">
        <f>IF(I39&lt;0,0,I39)</f>
        <v>180164</v>
      </c>
      <c r="K39" s="13">
        <f>IF(I39&lt;0,-I39,0)</f>
        <v>0</v>
      </c>
      <c r="L39" s="13">
        <f>FV(I$40,G$28,,-NPV(I$40,J$32:J$39))-K39</f>
        <v>1576613.8367116002</v>
      </c>
      <c r="M39" s="26">
        <v>4.4600000000000001E-2</v>
      </c>
    </row>
    <row r="40" spans="1:13">
      <c r="B40" s="14"/>
      <c r="C40" s="35"/>
      <c r="D40" s="35"/>
      <c r="E40" s="35"/>
      <c r="F40" s="14" t="s">
        <v>61</v>
      </c>
      <c r="G40" s="13"/>
      <c r="H40" s="30" t="s">
        <v>80</v>
      </c>
      <c r="I40" s="34">
        <f>I$27</f>
        <v>0.1</v>
      </c>
      <c r="J40" s="34"/>
      <c r="K40" s="34"/>
      <c r="L40" s="13"/>
    </row>
    <row r="41" spans="1:13">
      <c r="B41" s="30"/>
      <c r="C41" s="32"/>
      <c r="D41" s="32"/>
      <c r="E41" s="32"/>
      <c r="F41" s="33">
        <f>SUM(F32:F39)</f>
        <v>850000</v>
      </c>
      <c r="G41" s="13"/>
      <c r="H41" s="30" t="s">
        <v>79</v>
      </c>
      <c r="I41" s="13">
        <f>NPV(I40,I32:I39)+I31</f>
        <v>310501.99056674459</v>
      </c>
      <c r="J41" s="32"/>
      <c r="K41" s="32"/>
      <c r="L41" s="13"/>
    </row>
    <row r="42" spans="1:13">
      <c r="B42" s="30"/>
      <c r="C42" s="32"/>
      <c r="D42" s="32"/>
      <c r="E42" s="32"/>
      <c r="F42" s="3" t="s">
        <v>78</v>
      </c>
      <c r="H42" s="30" t="s">
        <v>77</v>
      </c>
      <c r="I42" s="13">
        <f>FV(I40,G$28,,-I41)</f>
        <v>665588.59246159962</v>
      </c>
      <c r="J42" s="32"/>
      <c r="K42" s="32"/>
      <c r="L42" s="13"/>
    </row>
    <row r="43" spans="1:13">
      <c r="B43" s="30"/>
      <c r="C43" s="32"/>
      <c r="D43" s="32"/>
      <c r="E43" s="32"/>
      <c r="F43" s="13">
        <f>C$26-F41</f>
        <v>0</v>
      </c>
      <c r="H43" s="30" t="s">
        <v>76</v>
      </c>
      <c r="I43" s="13">
        <f>PMT(I40,G$28,-I41)</f>
        <v>58201.740576807446</v>
      </c>
      <c r="J43" s="32"/>
      <c r="K43" s="32"/>
      <c r="L43" s="13"/>
    </row>
    <row r="44" spans="1:13">
      <c r="B44" s="30"/>
      <c r="C44" s="31"/>
      <c r="D44" s="31"/>
      <c r="E44" s="31"/>
      <c r="H44" s="30" t="s">
        <v>75</v>
      </c>
      <c r="I44" s="31">
        <f>IRR(I31:I39)</f>
        <v>0.25828022543176177</v>
      </c>
      <c r="J44" s="31"/>
      <c r="K44" s="31"/>
      <c r="L44" s="13"/>
    </row>
    <row r="45" spans="1:13">
      <c r="B45" s="30"/>
      <c r="C45" s="31"/>
      <c r="D45" s="31"/>
      <c r="E45" s="31"/>
      <c r="H45" s="30" t="s">
        <v>74</v>
      </c>
      <c r="I45" s="31">
        <f>IRR(L31:L39)</f>
        <v>0.17805902430369303</v>
      </c>
      <c r="J45" s="31"/>
      <c r="K45" s="31"/>
      <c r="L45" s="13"/>
    </row>
    <row r="47" spans="1:13">
      <c r="A47" s="14" t="s">
        <v>70</v>
      </c>
      <c r="B47" s="14" t="s">
        <v>100</v>
      </c>
      <c r="C47" s="14"/>
      <c r="D47" s="14"/>
      <c r="E47" s="14"/>
      <c r="F47" s="14"/>
      <c r="G47" s="14"/>
      <c r="H47" s="14"/>
      <c r="I47" s="14"/>
    </row>
    <row r="48" spans="1:13">
      <c r="B48" s="14" t="s">
        <v>69</v>
      </c>
      <c r="C48" s="29">
        <v>850000</v>
      </c>
      <c r="D48" s="14" t="s">
        <v>97</v>
      </c>
      <c r="E48" s="29">
        <v>425000</v>
      </c>
      <c r="F48" s="14" t="s">
        <v>96</v>
      </c>
      <c r="G48" s="29">
        <v>275000</v>
      </c>
      <c r="H48" s="14" t="s">
        <v>95</v>
      </c>
      <c r="I48" s="26">
        <v>0.4</v>
      </c>
      <c r="J48" s="31"/>
      <c r="K48" s="31"/>
    </row>
    <row r="49" spans="2:13">
      <c r="B49" s="14" t="s">
        <v>68</v>
      </c>
      <c r="C49" s="29">
        <v>0</v>
      </c>
      <c r="D49" s="14" t="s">
        <v>94</v>
      </c>
      <c r="E49" s="14">
        <v>5</v>
      </c>
      <c r="F49" s="14" t="s">
        <v>67</v>
      </c>
      <c r="G49" s="14">
        <v>8</v>
      </c>
      <c r="H49" s="14" t="s">
        <v>93</v>
      </c>
      <c r="I49" s="26">
        <v>0.1</v>
      </c>
      <c r="J49" s="31"/>
      <c r="K49" s="31"/>
    </row>
    <row r="50" spans="2:13">
      <c r="B50" s="14" t="s">
        <v>66</v>
      </c>
      <c r="C50" s="29">
        <v>0</v>
      </c>
      <c r="D50" s="14" t="s">
        <v>92</v>
      </c>
      <c r="E50" s="26">
        <v>0.11</v>
      </c>
      <c r="F50" s="14" t="s">
        <v>65</v>
      </c>
      <c r="G50" s="14">
        <v>8</v>
      </c>
      <c r="H50" s="14" t="s">
        <v>91</v>
      </c>
      <c r="I50" s="37">
        <v>3</v>
      </c>
      <c r="J50" s="36"/>
      <c r="K50" s="36"/>
    </row>
    <row r="51" spans="2:13">
      <c r="B51" s="14"/>
      <c r="C51" s="13"/>
      <c r="D51" s="14"/>
      <c r="E51" s="31"/>
      <c r="F51" s="14"/>
      <c r="H51" s="14"/>
      <c r="I51" s="36"/>
      <c r="J51" s="36"/>
      <c r="K51" s="36"/>
    </row>
    <row r="52" spans="2:13">
      <c r="B52" s="14" t="s">
        <v>33</v>
      </c>
      <c r="C52" s="14" t="s">
        <v>90</v>
      </c>
      <c r="D52" s="14" t="s">
        <v>89</v>
      </c>
      <c r="E52" s="14" t="s">
        <v>88</v>
      </c>
      <c r="F52" s="14" t="s">
        <v>87</v>
      </c>
      <c r="G52" s="14" t="s">
        <v>86</v>
      </c>
      <c r="H52" s="14" t="s">
        <v>85</v>
      </c>
      <c r="I52" s="14" t="s">
        <v>82</v>
      </c>
      <c r="J52" s="14" t="s">
        <v>84</v>
      </c>
      <c r="K52" s="14" t="s">
        <v>83</v>
      </c>
      <c r="L52" s="14" t="s">
        <v>82</v>
      </c>
      <c r="M52" s="14" t="s">
        <v>81</v>
      </c>
    </row>
    <row r="53" spans="2:13">
      <c r="B53" s="14">
        <v>0</v>
      </c>
      <c r="C53" s="13">
        <f>-C$48</f>
        <v>-850000</v>
      </c>
      <c r="D53" s="13">
        <f>-E$48</f>
        <v>-425000</v>
      </c>
      <c r="E53" s="13"/>
      <c r="F53" s="13"/>
      <c r="G53" s="13"/>
      <c r="H53" s="13"/>
      <c r="I53" s="13">
        <f>C53-D53-E53-H53</f>
        <v>-425000</v>
      </c>
      <c r="J53" s="13">
        <f>IF(I53&lt;0,0,I53)</f>
        <v>0</v>
      </c>
      <c r="K53" s="13">
        <f>IF(I53&lt;0,-I53,0)</f>
        <v>425000</v>
      </c>
      <c r="L53" s="13">
        <f>-K53</f>
        <v>-425000</v>
      </c>
    </row>
    <row r="54" spans="2:13">
      <c r="B54" s="14">
        <v>1</v>
      </c>
      <c r="C54" s="13">
        <f>G$48</f>
        <v>275000</v>
      </c>
      <c r="D54" s="13">
        <f>PPMT(E$50,B54,E$49,D$53)</f>
        <v>68242.381543762167</v>
      </c>
      <c r="E54" s="13">
        <f>IPMT(E$50,B54,E$49,D$53)</f>
        <v>46750</v>
      </c>
      <c r="F54" s="13">
        <f>C$48*M54</f>
        <v>121465</v>
      </c>
      <c r="G54" s="13">
        <f>C54-E54-F54</f>
        <v>106785</v>
      </c>
      <c r="H54" s="13">
        <f>I$48*G54</f>
        <v>42714</v>
      </c>
      <c r="I54" s="13">
        <f>C54-D54-E54-H54</f>
        <v>117293.61845623783</v>
      </c>
      <c r="J54" s="13">
        <f>IF(I54&lt;0,0,I54)</f>
        <v>117293.61845623783</v>
      </c>
      <c r="K54" s="13">
        <f>IF(I54&lt;0,-I54,0)</f>
        <v>0</v>
      </c>
      <c r="L54" s="13">
        <f>-K54</f>
        <v>0</v>
      </c>
      <c r="M54" s="26">
        <v>0.1429</v>
      </c>
    </row>
    <row r="55" spans="2:13">
      <c r="B55" s="14">
        <v>2</v>
      </c>
      <c r="C55" s="13">
        <f>G$48</f>
        <v>275000</v>
      </c>
      <c r="D55" s="13">
        <f>PPMT(E$50,B55,E$49,D$53)</f>
        <v>75749.043513576005</v>
      </c>
      <c r="E55" s="13">
        <f>IPMT(E$50,B55,E$49,D$53)</f>
        <v>39243.338030186162</v>
      </c>
      <c r="F55" s="13">
        <f>C$48*M55</f>
        <v>208165</v>
      </c>
      <c r="G55" s="13">
        <f>C55-E55-F55</f>
        <v>27591.661969813838</v>
      </c>
      <c r="H55" s="13">
        <f>I$48*G55</f>
        <v>11036.664787925536</v>
      </c>
      <c r="I55" s="13">
        <f>C55-D55-E55-H55</f>
        <v>148970.95366831229</v>
      </c>
      <c r="J55" s="13">
        <f>IF(I55&lt;0,0,I55)</f>
        <v>148970.95366831229</v>
      </c>
      <c r="K55" s="13">
        <f>IF(I55&lt;0,-I55,0)</f>
        <v>0</v>
      </c>
      <c r="L55" s="13">
        <f>-K55</f>
        <v>0</v>
      </c>
      <c r="M55" s="26">
        <v>0.24490000000000001</v>
      </c>
    </row>
    <row r="56" spans="2:13">
      <c r="B56" s="14">
        <v>3</v>
      </c>
      <c r="C56" s="13">
        <f>G$48</f>
        <v>275000</v>
      </c>
      <c r="D56" s="13">
        <f>PPMT(E$50,B56,E$49,D$53)</f>
        <v>84081.438300069363</v>
      </c>
      <c r="E56" s="13">
        <f>IPMT(E$50,B56,E$49,D$53)</f>
        <v>30910.943243692796</v>
      </c>
      <c r="F56" s="13">
        <f>C$48*M56</f>
        <v>148665</v>
      </c>
      <c r="G56" s="13">
        <f>C56-E56-F56</f>
        <v>95424.056756307196</v>
      </c>
      <c r="H56" s="13">
        <f>I$48*G56</f>
        <v>38169.62270252288</v>
      </c>
      <c r="I56" s="13">
        <f>C56-D56-E56-H56</f>
        <v>121837.99575371496</v>
      </c>
      <c r="J56" s="13">
        <f>IF(I56&lt;0,0,I56)</f>
        <v>121837.99575371496</v>
      </c>
      <c r="K56" s="13">
        <f>IF(I56&lt;0,-I56,0)</f>
        <v>0</v>
      </c>
      <c r="L56" s="13">
        <f>-K56</f>
        <v>0</v>
      </c>
      <c r="M56" s="26">
        <v>0.1749</v>
      </c>
    </row>
    <row r="57" spans="2:13">
      <c r="B57" s="14">
        <v>4</v>
      </c>
      <c r="C57" s="13">
        <f>G$48</f>
        <v>275000</v>
      </c>
      <c r="D57" s="13">
        <f>PPMT(E$50,B57,E$49,D$53)</f>
        <v>93330.396513076994</v>
      </c>
      <c r="E57" s="13">
        <f>IPMT(E$50,B57,E$49,D$53)</f>
        <v>21661.985030685169</v>
      </c>
      <c r="F57" s="13">
        <f>C$48*M57</f>
        <v>106165</v>
      </c>
      <c r="G57" s="13">
        <f>C57-E57-F57</f>
        <v>147173.01496931483</v>
      </c>
      <c r="H57" s="13">
        <f>I$48*G57</f>
        <v>58869.205987725931</v>
      </c>
      <c r="I57" s="13">
        <f>C57-D57-E57-H57</f>
        <v>101138.4124685119</v>
      </c>
      <c r="J57" s="13">
        <f>IF(I57&lt;0,0,I57)</f>
        <v>101138.4124685119</v>
      </c>
      <c r="K57" s="13">
        <f>IF(I57&lt;0,-I57,0)</f>
        <v>0</v>
      </c>
      <c r="L57" s="13">
        <f>-K57</f>
        <v>0</v>
      </c>
      <c r="M57" s="26">
        <v>0.1249</v>
      </c>
    </row>
    <row r="58" spans="2:13">
      <c r="B58" s="14">
        <v>5</v>
      </c>
      <c r="C58" s="13">
        <f>G$48</f>
        <v>275000</v>
      </c>
      <c r="D58" s="13">
        <f>PPMT(E$50,B58,E$49,D$53)</f>
        <v>103596.74012951547</v>
      </c>
      <c r="E58" s="13">
        <f>IPMT(E$50,B58,E$49,D$53)</f>
        <v>11395.6414142467</v>
      </c>
      <c r="F58" s="13">
        <f>C$48*M58</f>
        <v>75905</v>
      </c>
      <c r="G58" s="13">
        <f>C58-E58-F58</f>
        <v>187699.3585857533</v>
      </c>
      <c r="H58" s="13">
        <f>I$48*G58</f>
        <v>75079.74343430133</v>
      </c>
      <c r="I58" s="13">
        <f>C58-D58-E58-H58</f>
        <v>84927.875021936503</v>
      </c>
      <c r="J58" s="13">
        <f>IF(I58&lt;0,0,I58)</f>
        <v>84927.875021936503</v>
      </c>
      <c r="K58" s="13">
        <f>IF(I58&lt;0,-I58,0)</f>
        <v>0</v>
      </c>
      <c r="L58" s="13">
        <f>-K58</f>
        <v>0</v>
      </c>
      <c r="M58" s="26">
        <v>8.9300000000000004E-2</v>
      </c>
    </row>
    <row r="59" spans="2:13">
      <c r="B59" s="14">
        <v>6</v>
      </c>
      <c r="C59" s="13">
        <f>G$48</f>
        <v>275000</v>
      </c>
      <c r="D59" s="13">
        <v>0</v>
      </c>
      <c r="E59" s="13">
        <v>0</v>
      </c>
      <c r="F59" s="13">
        <f>C$48*M59</f>
        <v>75820</v>
      </c>
      <c r="G59" s="13">
        <f>C59-E59-F59</f>
        <v>199180</v>
      </c>
      <c r="H59" s="13">
        <f>I$48*G59</f>
        <v>79672</v>
      </c>
      <c r="I59" s="13">
        <f>C59-D59-E59-H59</f>
        <v>195328</v>
      </c>
      <c r="J59" s="13">
        <f>IF(I59&lt;0,0,I59)</f>
        <v>195328</v>
      </c>
      <c r="K59" s="13">
        <f>IF(I59&lt;0,-I59,0)</f>
        <v>0</v>
      </c>
      <c r="L59" s="13">
        <f>-K59</f>
        <v>0</v>
      </c>
      <c r="M59" s="26">
        <v>8.9200000000000002E-2</v>
      </c>
    </row>
    <row r="60" spans="2:13">
      <c r="B60" s="14">
        <v>7</v>
      </c>
      <c r="C60" s="13">
        <f>G$48</f>
        <v>275000</v>
      </c>
      <c r="D60" s="13">
        <v>0</v>
      </c>
      <c r="E60" s="13">
        <v>0</v>
      </c>
      <c r="F60" s="13">
        <f>C$48*M60</f>
        <v>75905</v>
      </c>
      <c r="G60" s="13">
        <f>C60-E60-F60</f>
        <v>199095</v>
      </c>
      <c r="H60" s="13">
        <f>I$48*G60</f>
        <v>79638</v>
      </c>
      <c r="I60" s="13">
        <f>C60-D60-E60-H60</f>
        <v>195362</v>
      </c>
      <c r="J60" s="13">
        <f>IF(I60&lt;0,0,I60)</f>
        <v>195362</v>
      </c>
      <c r="K60" s="13">
        <f>IF(I60&lt;0,-I60,0)</f>
        <v>0</v>
      </c>
      <c r="L60" s="13">
        <f>-K60</f>
        <v>0</v>
      </c>
      <c r="M60" s="26">
        <v>8.9300000000000004E-2</v>
      </c>
    </row>
    <row r="61" spans="2:13">
      <c r="B61" s="14">
        <v>8</v>
      </c>
      <c r="C61" s="13">
        <f>G$48+C$50</f>
        <v>275000</v>
      </c>
      <c r="D61" s="13">
        <v>0</v>
      </c>
      <c r="E61" s="13">
        <v>0</v>
      </c>
      <c r="F61" s="13">
        <f>C$48*M61</f>
        <v>37910</v>
      </c>
      <c r="G61" s="13">
        <f>C61-E61-F61-F65</f>
        <v>237090</v>
      </c>
      <c r="H61" s="13">
        <f>I$48*G61</f>
        <v>94836</v>
      </c>
      <c r="I61" s="13">
        <f>C61-D61-E61-H61</f>
        <v>180164</v>
      </c>
      <c r="J61" s="13">
        <f>IF(I61&lt;0,0,I61)</f>
        <v>180164</v>
      </c>
      <c r="K61" s="13">
        <f>IF(I61&lt;0,-I61,0)</f>
        <v>0</v>
      </c>
      <c r="L61" s="13">
        <f>FV(I$62,G$50,,-NPV(I$62,J$54:J$61))-K61</f>
        <v>1581229.3535487966</v>
      </c>
      <c r="M61" s="26">
        <v>4.4600000000000001E-2</v>
      </c>
    </row>
    <row r="62" spans="2:13">
      <c r="B62" s="14"/>
      <c r="C62" s="35"/>
      <c r="D62" s="35"/>
      <c r="E62" s="35"/>
      <c r="F62" s="14" t="s">
        <v>61</v>
      </c>
      <c r="G62" s="13"/>
      <c r="H62" s="30" t="s">
        <v>80</v>
      </c>
      <c r="I62" s="34">
        <f>I$49</f>
        <v>0.1</v>
      </c>
      <c r="J62" s="34"/>
      <c r="K62" s="34"/>
      <c r="L62" s="13"/>
    </row>
    <row r="63" spans="2:13">
      <c r="B63" s="30"/>
      <c r="C63" s="32"/>
      <c r="D63" s="32"/>
      <c r="E63" s="32"/>
      <c r="F63" s="33">
        <f>SUM(F54:F61)</f>
        <v>850000</v>
      </c>
      <c r="G63" s="13"/>
      <c r="H63" s="30" t="s">
        <v>79</v>
      </c>
      <c r="I63" s="13">
        <f>NPV(I62,I54:I61)+I53</f>
        <v>312655.16323477903</v>
      </c>
      <c r="J63" s="32"/>
      <c r="K63" s="32"/>
      <c r="L63" s="13"/>
    </row>
    <row r="64" spans="2:13">
      <c r="B64" s="30"/>
      <c r="C64" s="32"/>
      <c r="D64" s="32"/>
      <c r="E64" s="32"/>
      <c r="F64" s="3" t="s">
        <v>78</v>
      </c>
      <c r="H64" s="30" t="s">
        <v>77</v>
      </c>
      <c r="I64" s="13">
        <f>FV(I62,G$50,,-I63)</f>
        <v>670204.10929879604</v>
      </c>
      <c r="J64" s="32"/>
      <c r="K64" s="32"/>
      <c r="L64" s="13"/>
    </row>
    <row r="65" spans="1:13">
      <c r="B65" s="30"/>
      <c r="C65" s="32"/>
      <c r="D65" s="32"/>
      <c r="E65" s="32"/>
      <c r="F65" s="13">
        <f>C$48-F63</f>
        <v>0</v>
      </c>
      <c r="H65" s="30" t="s">
        <v>76</v>
      </c>
      <c r="I65" s="13">
        <f>PMT(I62,G$50,-I63)</f>
        <v>58605.339912236101</v>
      </c>
      <c r="J65" s="32"/>
      <c r="K65" s="32"/>
      <c r="L65" s="13"/>
    </row>
    <row r="66" spans="1:13">
      <c r="B66" s="30"/>
      <c r="C66" s="31"/>
      <c r="D66" s="31"/>
      <c r="E66" s="31"/>
      <c r="H66" s="30" t="s">
        <v>75</v>
      </c>
      <c r="I66" s="31">
        <f>IRR(I53:I61)</f>
        <v>0.2646247000246873</v>
      </c>
      <c r="J66" s="31"/>
      <c r="K66" s="31"/>
      <c r="L66" s="13"/>
    </row>
    <row r="67" spans="1:13">
      <c r="B67" s="30"/>
      <c r="C67" s="31"/>
      <c r="D67" s="31"/>
      <c r="E67" s="31"/>
      <c r="H67" s="30" t="s">
        <v>74</v>
      </c>
      <c r="I67" s="31">
        <f>IRR(L53:L61)</f>
        <v>0.17848956726731369</v>
      </c>
      <c r="J67" s="31"/>
      <c r="K67" s="31"/>
      <c r="L67" s="13"/>
    </row>
    <row r="69" spans="1:13">
      <c r="A69" s="14" t="s">
        <v>99</v>
      </c>
      <c r="B69" s="14" t="s">
        <v>98</v>
      </c>
      <c r="C69" s="14"/>
      <c r="D69" s="14"/>
      <c r="E69" s="14"/>
      <c r="F69" s="14"/>
      <c r="G69" s="14"/>
      <c r="H69" s="14"/>
      <c r="I69" s="14"/>
    </row>
    <row r="70" spans="1:13">
      <c r="B70" s="14" t="s">
        <v>69</v>
      </c>
      <c r="C70" s="29">
        <v>850000</v>
      </c>
      <c r="D70" s="14" t="s">
        <v>97</v>
      </c>
      <c r="E70" s="29">
        <v>425000</v>
      </c>
      <c r="F70" s="14" t="s">
        <v>96</v>
      </c>
      <c r="G70" s="29">
        <v>275000</v>
      </c>
      <c r="H70" s="14" t="s">
        <v>95</v>
      </c>
      <c r="I70" s="26">
        <v>0.4</v>
      </c>
      <c r="J70" s="31"/>
      <c r="K70" s="31"/>
    </row>
    <row r="71" spans="1:13">
      <c r="B71" s="14" t="s">
        <v>68</v>
      </c>
      <c r="C71" s="29">
        <v>0</v>
      </c>
      <c r="D71" s="14" t="s">
        <v>94</v>
      </c>
      <c r="E71" s="14">
        <v>5</v>
      </c>
      <c r="F71" s="14" t="s">
        <v>67</v>
      </c>
      <c r="G71" s="14">
        <v>8</v>
      </c>
      <c r="H71" s="14" t="s">
        <v>93</v>
      </c>
      <c r="I71" s="26">
        <v>0.1</v>
      </c>
      <c r="J71" s="31"/>
      <c r="K71" s="31"/>
    </row>
    <row r="72" spans="1:13">
      <c r="B72" s="14" t="s">
        <v>66</v>
      </c>
      <c r="C72" s="29">
        <v>0</v>
      </c>
      <c r="D72" s="14" t="s">
        <v>92</v>
      </c>
      <c r="E72" s="26">
        <v>0.11</v>
      </c>
      <c r="F72" s="14" t="s">
        <v>65</v>
      </c>
      <c r="G72" s="14">
        <v>8</v>
      </c>
      <c r="H72" s="14" t="s">
        <v>91</v>
      </c>
      <c r="I72" s="37">
        <v>4</v>
      </c>
      <c r="J72" s="36"/>
      <c r="K72" s="36"/>
    </row>
    <row r="73" spans="1:13">
      <c r="B73" s="14"/>
      <c r="C73" s="13"/>
      <c r="D73" s="14"/>
      <c r="E73" s="31"/>
      <c r="F73" s="14"/>
      <c r="H73" s="14"/>
      <c r="I73" s="36"/>
      <c r="J73" s="36"/>
      <c r="K73" s="36"/>
    </row>
    <row r="74" spans="1:13">
      <c r="B74" s="14" t="s">
        <v>33</v>
      </c>
      <c r="C74" s="14" t="s">
        <v>90</v>
      </c>
      <c r="D74" s="14" t="s">
        <v>89</v>
      </c>
      <c r="E74" s="14" t="s">
        <v>88</v>
      </c>
      <c r="F74" s="14" t="s">
        <v>87</v>
      </c>
      <c r="G74" s="14" t="s">
        <v>86</v>
      </c>
      <c r="H74" s="14" t="s">
        <v>85</v>
      </c>
      <c r="I74" s="14" t="s">
        <v>82</v>
      </c>
      <c r="J74" s="14" t="s">
        <v>84</v>
      </c>
      <c r="K74" s="14" t="s">
        <v>83</v>
      </c>
      <c r="L74" s="14" t="s">
        <v>82</v>
      </c>
      <c r="M74" s="14" t="s">
        <v>81</v>
      </c>
    </row>
    <row r="75" spans="1:13">
      <c r="B75" s="14">
        <v>0</v>
      </c>
      <c r="C75" s="13">
        <f>-C$70</f>
        <v>-850000</v>
      </c>
      <c r="D75" s="13">
        <f>-E$70</f>
        <v>-425000</v>
      </c>
      <c r="E75" s="13"/>
      <c r="F75" s="13"/>
      <c r="G75" s="13"/>
      <c r="H75" s="13"/>
      <c r="I75" s="13">
        <f>C75-D75-E75-H75</f>
        <v>-425000</v>
      </c>
      <c r="J75" s="13">
        <f>IF(I75&lt;0,0,I75)</f>
        <v>0</v>
      </c>
      <c r="K75" s="13">
        <f>IF(I75&lt;0,-I75,0)</f>
        <v>425000</v>
      </c>
      <c r="L75" s="13">
        <f>-K75</f>
        <v>-425000</v>
      </c>
    </row>
    <row r="76" spans="1:13">
      <c r="B76" s="14">
        <v>1</v>
      </c>
      <c r="C76" s="13">
        <f>G$70</f>
        <v>275000</v>
      </c>
      <c r="D76" s="13">
        <v>0</v>
      </c>
      <c r="E76" s="13">
        <v>0</v>
      </c>
      <c r="F76" s="13">
        <f>C$70*M76</f>
        <v>121465</v>
      </c>
      <c r="G76" s="13">
        <f>C76-E76-F76</f>
        <v>153535</v>
      </c>
      <c r="H76" s="13">
        <f>I$70*G76</f>
        <v>61414</v>
      </c>
      <c r="I76" s="13">
        <f>C76-D76-E76-H76</f>
        <v>213586</v>
      </c>
      <c r="J76" s="13">
        <f>IF(I76&lt;0,0,I76)</f>
        <v>213586</v>
      </c>
      <c r="K76" s="13">
        <f>IF(I76&lt;0,-I76,0)</f>
        <v>0</v>
      </c>
      <c r="L76" s="13">
        <f>-K76</f>
        <v>0</v>
      </c>
      <c r="M76" s="26">
        <v>0.1429</v>
      </c>
    </row>
    <row r="77" spans="1:13">
      <c r="B77" s="14">
        <v>2</v>
      </c>
      <c r="C77" s="13">
        <f>G$70</f>
        <v>275000</v>
      </c>
      <c r="D77" s="13">
        <v>0</v>
      </c>
      <c r="E77" s="13">
        <v>0</v>
      </c>
      <c r="F77" s="13">
        <f>C$70*M77</f>
        <v>208165</v>
      </c>
      <c r="G77" s="13">
        <f>C77-E77-F77</f>
        <v>66835</v>
      </c>
      <c r="H77" s="13">
        <f>I$70*G77</f>
        <v>26734</v>
      </c>
      <c r="I77" s="13">
        <f>C77-D77-E77-H77</f>
        <v>248266</v>
      </c>
      <c r="J77" s="13">
        <f>IF(I77&lt;0,0,I77)</f>
        <v>248266</v>
      </c>
      <c r="K77" s="13">
        <f>IF(I77&lt;0,-I77,0)</f>
        <v>0</v>
      </c>
      <c r="L77" s="13">
        <f>-K77</f>
        <v>0</v>
      </c>
      <c r="M77" s="26">
        <v>0.24490000000000001</v>
      </c>
    </row>
    <row r="78" spans="1:13">
      <c r="B78" s="14">
        <v>3</v>
      </c>
      <c r="C78" s="13">
        <f>G$70</f>
        <v>275000</v>
      </c>
      <c r="D78" s="13">
        <v>0</v>
      </c>
      <c r="E78" s="13">
        <v>0</v>
      </c>
      <c r="F78" s="13">
        <f>C$70*M78</f>
        <v>148665</v>
      </c>
      <c r="G78" s="13">
        <f>C78-E78-F78</f>
        <v>126335</v>
      </c>
      <c r="H78" s="13">
        <f>I$70*G78</f>
        <v>50534</v>
      </c>
      <c r="I78" s="13">
        <f>C78-D78-E78-H78</f>
        <v>224466</v>
      </c>
      <c r="J78" s="13">
        <f>IF(I78&lt;0,0,I78)</f>
        <v>224466</v>
      </c>
      <c r="K78" s="13">
        <f>IF(I78&lt;0,-I78,0)</f>
        <v>0</v>
      </c>
      <c r="L78" s="13">
        <f>-K78</f>
        <v>0</v>
      </c>
      <c r="M78" s="26">
        <v>0.1749</v>
      </c>
    </row>
    <row r="79" spans="1:13">
      <c r="B79" s="14">
        <v>4</v>
      </c>
      <c r="C79" s="13">
        <f>G$70</f>
        <v>275000</v>
      </c>
      <c r="D79" s="13">
        <v>0</v>
      </c>
      <c r="E79" s="13">
        <v>0</v>
      </c>
      <c r="F79" s="13">
        <f>C$70*M79</f>
        <v>106165</v>
      </c>
      <c r="G79" s="13">
        <f>C79-E79-F79</f>
        <v>168835</v>
      </c>
      <c r="H79" s="13">
        <f>I$70*G79</f>
        <v>67534</v>
      </c>
      <c r="I79" s="13">
        <f>C79-D79-E79-H79</f>
        <v>207466</v>
      </c>
      <c r="J79" s="13">
        <f>IF(I79&lt;0,0,I79)</f>
        <v>207466</v>
      </c>
      <c r="K79" s="13">
        <f>IF(I79&lt;0,-I79,0)</f>
        <v>0</v>
      </c>
      <c r="L79" s="13">
        <f>-K79</f>
        <v>0</v>
      </c>
      <c r="M79" s="26">
        <v>0.1249</v>
      </c>
    </row>
    <row r="80" spans="1:13">
      <c r="B80" s="14">
        <v>5</v>
      </c>
      <c r="C80" s="13">
        <f>G$70</f>
        <v>275000</v>
      </c>
      <c r="D80" s="13">
        <v>425000</v>
      </c>
      <c r="E80" s="13">
        <f>FV(E$72,E$71,,D75)+D$75</f>
        <v>291149.7159175002</v>
      </c>
      <c r="F80" s="13">
        <f>C$70*M80</f>
        <v>75905</v>
      </c>
      <c r="G80" s="13">
        <f>C80-E80-F80</f>
        <v>-92054.715917500202</v>
      </c>
      <c r="H80" s="13">
        <f>I$70*G80</f>
        <v>-36821.886367000079</v>
      </c>
      <c r="I80" s="13">
        <f>C80-D80-E80-H80</f>
        <v>-404327.82955050014</v>
      </c>
      <c r="J80" s="13">
        <f>IF(I80&lt;0,0,I80)</f>
        <v>0</v>
      </c>
      <c r="K80" s="13">
        <f>IF(I80&lt;0,-I80,0)</f>
        <v>404327.82955050014</v>
      </c>
      <c r="L80" s="13">
        <f>-K80</f>
        <v>-404327.82955050014</v>
      </c>
      <c r="M80" s="26">
        <v>8.9300000000000004E-2</v>
      </c>
    </row>
    <row r="81" spans="2:13">
      <c r="B81" s="14">
        <v>6</v>
      </c>
      <c r="C81" s="13">
        <f>G$70</f>
        <v>275000</v>
      </c>
      <c r="D81" s="13">
        <v>0</v>
      </c>
      <c r="E81" s="13">
        <v>0</v>
      </c>
      <c r="F81" s="13">
        <f>C$70*M81</f>
        <v>75820</v>
      </c>
      <c r="G81" s="13">
        <f>C81-E81-F81</f>
        <v>199180</v>
      </c>
      <c r="H81" s="13">
        <f>I$70*G81</f>
        <v>79672</v>
      </c>
      <c r="I81" s="13">
        <f>C81-D81-E81-H81</f>
        <v>195328</v>
      </c>
      <c r="J81" s="13">
        <f>IF(I81&lt;0,0,I81)</f>
        <v>195328</v>
      </c>
      <c r="K81" s="13">
        <f>IF(I81&lt;0,-I81,0)</f>
        <v>0</v>
      </c>
      <c r="L81" s="13">
        <f>-K81</f>
        <v>0</v>
      </c>
      <c r="M81" s="26">
        <v>8.9200000000000002E-2</v>
      </c>
    </row>
    <row r="82" spans="2:13">
      <c r="B82" s="14">
        <v>7</v>
      </c>
      <c r="C82" s="13">
        <f>G$70</f>
        <v>275000</v>
      </c>
      <c r="D82" s="13">
        <v>0</v>
      </c>
      <c r="E82" s="13">
        <v>0</v>
      </c>
      <c r="F82" s="13">
        <f>C$70*M82</f>
        <v>75905</v>
      </c>
      <c r="G82" s="13">
        <f>C82-E82-F82</f>
        <v>199095</v>
      </c>
      <c r="H82" s="13">
        <f>I$70*G82</f>
        <v>79638</v>
      </c>
      <c r="I82" s="13">
        <f>C82-D82-E82-H82</f>
        <v>195362</v>
      </c>
      <c r="J82" s="13">
        <f>IF(I82&lt;0,0,I82)</f>
        <v>195362</v>
      </c>
      <c r="K82" s="13">
        <f>IF(I82&lt;0,-I82,0)</f>
        <v>0</v>
      </c>
      <c r="L82" s="13">
        <f>-K82</f>
        <v>0</v>
      </c>
      <c r="M82" s="26">
        <v>8.9300000000000004E-2</v>
      </c>
    </row>
    <row r="83" spans="2:13">
      <c r="B83" s="14">
        <v>8</v>
      </c>
      <c r="C83" s="13">
        <f>G$70+C$72</f>
        <v>275000</v>
      </c>
      <c r="D83" s="13">
        <v>0</v>
      </c>
      <c r="E83" s="13">
        <v>0</v>
      </c>
      <c r="F83" s="13">
        <f>C$70*M83</f>
        <v>37910</v>
      </c>
      <c r="G83" s="13">
        <f>C83-E83-F83-F87</f>
        <v>237090</v>
      </c>
      <c r="H83" s="13">
        <f>I$70*G83</f>
        <v>94836</v>
      </c>
      <c r="I83" s="13">
        <f>C83-D83-E83-H83</f>
        <v>180164</v>
      </c>
      <c r="J83" s="13">
        <f>IF(I83&lt;0,0,I83)</f>
        <v>180164</v>
      </c>
      <c r="K83" s="13">
        <f>IF(I83&lt;0,-I83,0)</f>
        <v>0</v>
      </c>
      <c r="L83" s="13">
        <f>FV(I$84,G$72,,-NPV(I$84,J$76:J$83))-K83</f>
        <v>2152701.8420066009</v>
      </c>
      <c r="M83" s="26">
        <v>4.4600000000000001E-2</v>
      </c>
    </row>
    <row r="84" spans="2:13">
      <c r="B84" s="14"/>
      <c r="C84" s="35"/>
      <c r="D84" s="35"/>
      <c r="E84" s="35"/>
      <c r="F84" s="14" t="s">
        <v>61</v>
      </c>
      <c r="G84" s="13"/>
      <c r="H84" s="30" t="s">
        <v>80</v>
      </c>
      <c r="I84" s="34">
        <f>I$71</f>
        <v>0.1</v>
      </c>
      <c r="J84" s="34"/>
      <c r="K84" s="34"/>
      <c r="L84" s="13"/>
    </row>
    <row r="85" spans="2:13">
      <c r="B85" s="30"/>
      <c r="C85" s="32"/>
      <c r="D85" s="32"/>
      <c r="E85" s="32"/>
      <c r="F85" s="33">
        <f>SUM(F76:F83)</f>
        <v>850000</v>
      </c>
      <c r="G85" s="13"/>
      <c r="H85" s="30" t="s">
        <v>79</v>
      </c>
      <c r="I85" s="13">
        <f>NPV(I84,I76:I83)+I75</f>
        <v>328195.52581303311</v>
      </c>
      <c r="J85" s="32"/>
      <c r="K85" s="32"/>
      <c r="L85" s="13"/>
    </row>
    <row r="86" spans="2:13">
      <c r="B86" s="30"/>
      <c r="C86" s="32"/>
      <c r="D86" s="32"/>
      <c r="E86" s="32"/>
      <c r="F86" s="3" t="s">
        <v>78</v>
      </c>
      <c r="H86" s="30" t="s">
        <v>77</v>
      </c>
      <c r="I86" s="13">
        <f>FV(I84,G$72,,-I85)</f>
        <v>703516.25662488432</v>
      </c>
      <c r="J86" s="32"/>
      <c r="K86" s="32"/>
      <c r="L86" s="13"/>
    </row>
    <row r="87" spans="2:13">
      <c r="B87" s="30"/>
      <c r="C87" s="32"/>
      <c r="D87" s="32"/>
      <c r="E87" s="32"/>
      <c r="F87" s="13">
        <f>C$70-F85</f>
        <v>0</v>
      </c>
      <c r="H87" s="30" t="s">
        <v>76</v>
      </c>
      <c r="I87" s="13">
        <f>PMT(I84,G$72,-I85)</f>
        <v>61518.287908473336</v>
      </c>
      <c r="J87" s="32"/>
      <c r="K87" s="32"/>
      <c r="L87" s="13"/>
    </row>
    <row r="88" spans="2:13">
      <c r="B88" s="30"/>
      <c r="C88" s="31"/>
      <c r="D88" s="31"/>
      <c r="E88" s="31"/>
      <c r="H88" s="30" t="s">
        <v>75</v>
      </c>
      <c r="I88" s="31">
        <f>IRR(I75:I83,50%)</f>
        <v>0.35750656635842981</v>
      </c>
      <c r="J88" s="31"/>
      <c r="K88" s="31"/>
      <c r="L88" s="13"/>
    </row>
    <row r="89" spans="2:13">
      <c r="B89" s="30"/>
      <c r="C89" s="31"/>
      <c r="D89" s="31"/>
      <c r="E89" s="31"/>
      <c r="H89" s="30" t="s">
        <v>74</v>
      </c>
      <c r="I89" s="31">
        <f>IRR(L75:L83)</f>
        <v>0.17107214946405436</v>
      </c>
      <c r="J89" s="31"/>
      <c r="K89" s="31"/>
      <c r="L89" s="13"/>
    </row>
  </sheetData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9" workbookViewId="0"/>
  </sheetViews>
  <sheetFormatPr baseColWidth="10" defaultColWidth="8.83203125" defaultRowHeight="12" x14ac:dyDescent="0"/>
  <cols>
    <col min="1" max="1" width="15.5" style="3" bestFit="1" customWidth="1"/>
    <col min="2" max="2" width="21.1640625" style="3" bestFit="1" customWidth="1"/>
    <col min="3" max="4" width="11.1640625" style="3" bestFit="1" customWidth="1"/>
    <col min="5" max="5" width="17.5" style="3" bestFit="1" customWidth="1"/>
    <col min="6" max="8" width="11.1640625" style="3" bestFit="1" customWidth="1"/>
    <col min="9" max="9" width="15.1640625" style="3" bestFit="1" customWidth="1"/>
    <col min="10" max="10" width="11.6640625" style="3" bestFit="1" customWidth="1"/>
    <col min="11" max="11" width="11.1640625" style="3" bestFit="1" customWidth="1"/>
    <col min="12" max="12" width="11.6640625" style="3" bestFit="1" customWidth="1"/>
    <col min="13" max="16384" width="8.83203125" style="3"/>
  </cols>
  <sheetData>
    <row r="1" spans="1:12">
      <c r="A1" s="3" t="s">
        <v>154</v>
      </c>
    </row>
    <row r="3" spans="1:12">
      <c r="B3" s="3" t="s">
        <v>153</v>
      </c>
      <c r="C3" s="31">
        <v>3.9E-2</v>
      </c>
    </row>
    <row r="4" spans="1:12">
      <c r="B4" s="3" t="s">
        <v>152</v>
      </c>
      <c r="C4" s="31">
        <v>0.17</v>
      </c>
    </row>
    <row r="5" spans="1:12">
      <c r="B5" s="3" t="s">
        <v>151</v>
      </c>
      <c r="C5" s="31">
        <f>(C4-C3)/(1+C3)</f>
        <v>0.12608277189605391</v>
      </c>
    </row>
    <row r="6" spans="1:12">
      <c r="B6" s="3" t="s">
        <v>150</v>
      </c>
      <c r="C6" s="13">
        <v>500000</v>
      </c>
    </row>
    <row r="7" spans="1:12">
      <c r="B7" s="3" t="s">
        <v>149</v>
      </c>
      <c r="C7" s="31">
        <v>0.1</v>
      </c>
    </row>
    <row r="8" spans="1:12">
      <c r="B8" s="3" t="s">
        <v>148</v>
      </c>
      <c r="C8" s="36">
        <v>4</v>
      </c>
    </row>
    <row r="9" spans="1:12">
      <c r="E9" s="13"/>
    </row>
    <row r="10" spans="1:12">
      <c r="D10" s="3" t="s">
        <v>141</v>
      </c>
      <c r="E10" s="3" t="s">
        <v>147</v>
      </c>
      <c r="I10" s="3" t="s">
        <v>147</v>
      </c>
      <c r="J10" s="3" t="s">
        <v>146</v>
      </c>
      <c r="K10" s="3" t="s">
        <v>136</v>
      </c>
      <c r="L10" s="3" t="s">
        <v>145</v>
      </c>
    </row>
    <row r="11" spans="1:12">
      <c r="B11" s="14" t="s">
        <v>144</v>
      </c>
      <c r="D11" s="3" t="s">
        <v>143</v>
      </c>
      <c r="E11" s="3" t="s">
        <v>142</v>
      </c>
      <c r="F11" s="3" t="s">
        <v>141</v>
      </c>
      <c r="G11" s="3" t="s">
        <v>140</v>
      </c>
      <c r="H11" s="3" t="s">
        <v>137</v>
      </c>
      <c r="I11" s="3" t="s">
        <v>139</v>
      </c>
      <c r="J11" s="3" t="s">
        <v>138</v>
      </c>
      <c r="K11" s="3" t="s">
        <v>137</v>
      </c>
      <c r="L11" s="3" t="s">
        <v>136</v>
      </c>
    </row>
    <row r="12" spans="1:12">
      <c r="B12" s="14" t="s">
        <v>91</v>
      </c>
      <c r="C12" s="3" t="s">
        <v>33</v>
      </c>
      <c r="D12" s="3" t="s">
        <v>135</v>
      </c>
      <c r="E12" s="3" t="s">
        <v>134</v>
      </c>
      <c r="F12" s="3" t="s">
        <v>134</v>
      </c>
      <c r="G12" s="3" t="s">
        <v>134</v>
      </c>
      <c r="H12" s="3" t="s">
        <v>134</v>
      </c>
      <c r="I12" s="3" t="s">
        <v>134</v>
      </c>
      <c r="J12" s="3" t="s">
        <v>133</v>
      </c>
      <c r="K12" s="3" t="s">
        <v>134</v>
      </c>
      <c r="L12" s="3" t="s">
        <v>133</v>
      </c>
    </row>
    <row r="13" spans="1:12">
      <c r="B13" s="14">
        <v>1</v>
      </c>
      <c r="C13" s="14">
        <v>0</v>
      </c>
      <c r="I13" s="13">
        <f>C$6</f>
        <v>500000</v>
      </c>
      <c r="K13" s="13"/>
    </row>
    <row r="14" spans="1:12">
      <c r="B14" s="14"/>
      <c r="C14" s="14">
        <v>1</v>
      </c>
      <c r="D14" s="13">
        <f>I13*C$7</f>
        <v>50000</v>
      </c>
      <c r="E14" s="13">
        <f>I13+D14</f>
        <v>550000</v>
      </c>
      <c r="F14" s="13">
        <f>D14</f>
        <v>50000</v>
      </c>
      <c r="G14" s="13">
        <v>0</v>
      </c>
      <c r="H14" s="13">
        <f>F14+G14</f>
        <v>50000</v>
      </c>
      <c r="I14" s="13">
        <f>E14-H14</f>
        <v>500000</v>
      </c>
      <c r="K14" s="13">
        <f>NPV(C$3,H14)</f>
        <v>48123.195380173245</v>
      </c>
      <c r="L14" s="32"/>
    </row>
    <row r="15" spans="1:12">
      <c r="B15" s="14"/>
      <c r="C15" s="14">
        <v>2</v>
      </c>
      <c r="D15" s="13">
        <f>I14*C$7</f>
        <v>50000</v>
      </c>
      <c r="E15" s="13">
        <f>I14+D15</f>
        <v>550000</v>
      </c>
      <c r="F15" s="13">
        <f>D15</f>
        <v>50000</v>
      </c>
      <c r="G15" s="13">
        <v>0</v>
      </c>
      <c r="H15" s="13">
        <f>F15+G15</f>
        <v>50000</v>
      </c>
      <c r="I15" s="13">
        <f>E15-H15</f>
        <v>500000</v>
      </c>
      <c r="K15" s="13">
        <f>NPV(C$3,,H15)</f>
        <v>46316.83867196655</v>
      </c>
    </row>
    <row r="16" spans="1:12">
      <c r="B16" s="14"/>
      <c r="C16" s="14">
        <v>3</v>
      </c>
      <c r="D16" s="13">
        <f>I15*C$7</f>
        <v>50000</v>
      </c>
      <c r="E16" s="13">
        <f>I15+D16</f>
        <v>550000</v>
      </c>
      <c r="F16" s="13">
        <f>D16</f>
        <v>50000</v>
      </c>
      <c r="G16" s="13">
        <v>0</v>
      </c>
      <c r="H16" s="13">
        <f>F16+G16</f>
        <v>50000</v>
      </c>
      <c r="I16" s="13">
        <f>E16-H16</f>
        <v>500000</v>
      </c>
      <c r="K16" s="13">
        <f>NPV(C$3,,,H16)</f>
        <v>44578.285536060212</v>
      </c>
    </row>
    <row r="17" spans="2:12">
      <c r="B17" s="14"/>
      <c r="C17" s="14">
        <v>4</v>
      </c>
      <c r="D17" s="13">
        <f>I16*C$7</f>
        <v>50000</v>
      </c>
      <c r="E17" s="13">
        <f>I16+D17</f>
        <v>550000</v>
      </c>
      <c r="F17" s="13">
        <f>D17</f>
        <v>50000</v>
      </c>
      <c r="G17" s="13">
        <f>I13</f>
        <v>500000</v>
      </c>
      <c r="H17" s="13">
        <f>F17+G17</f>
        <v>550000</v>
      </c>
      <c r="I17" s="13">
        <f>E17-H17</f>
        <v>0</v>
      </c>
      <c r="J17" s="32">
        <f>NPV(C$4,H14:H17)</f>
        <v>403986.77463623876</v>
      </c>
      <c r="K17" s="13">
        <f>NPV(C$3,,,,H17)</f>
        <v>471954.89980429492</v>
      </c>
      <c r="L17" s="32">
        <f>NPV(C$5,K14:K17)</f>
        <v>403986.7746362387</v>
      </c>
    </row>
    <row r="18" spans="2:12">
      <c r="B18" s="14"/>
      <c r="C18" s="14"/>
    </row>
    <row r="19" spans="2:12">
      <c r="B19" s="14">
        <v>2</v>
      </c>
      <c r="C19" s="14">
        <v>0</v>
      </c>
      <c r="I19" s="13">
        <f>C$6</f>
        <v>500000</v>
      </c>
      <c r="K19" s="13"/>
    </row>
    <row r="20" spans="2:12">
      <c r="B20" s="14"/>
      <c r="C20" s="14">
        <v>1</v>
      </c>
      <c r="D20" s="13">
        <f>I19*C$7</f>
        <v>50000</v>
      </c>
      <c r="E20" s="13">
        <f>I19+D20</f>
        <v>550000</v>
      </c>
      <c r="F20" s="13">
        <f>D20</f>
        <v>50000</v>
      </c>
      <c r="G20" s="13">
        <f>I$19/C$8</f>
        <v>125000</v>
      </c>
      <c r="H20" s="13">
        <f>F20+G20</f>
        <v>175000</v>
      </c>
      <c r="I20" s="13">
        <f>E20-H20</f>
        <v>375000</v>
      </c>
      <c r="K20" s="13">
        <f>NPV(C$3,H20)</f>
        <v>168431.18383060637</v>
      </c>
    </row>
    <row r="21" spans="2:12">
      <c r="B21" s="14"/>
      <c r="C21" s="14">
        <v>2</v>
      </c>
      <c r="D21" s="13">
        <f>I20*C$7</f>
        <v>37500</v>
      </c>
      <c r="E21" s="13">
        <f>I20+D21</f>
        <v>412500</v>
      </c>
      <c r="F21" s="13">
        <f>D21</f>
        <v>37500</v>
      </c>
      <c r="G21" s="13">
        <f>I$19/C$8</f>
        <v>125000</v>
      </c>
      <c r="H21" s="13">
        <f>F21+G21</f>
        <v>162500</v>
      </c>
      <c r="I21" s="13">
        <f>E21-H21</f>
        <v>250000</v>
      </c>
      <c r="K21" s="13">
        <f>NPV(C$3,,H21)</f>
        <v>150529.7256838913</v>
      </c>
    </row>
    <row r="22" spans="2:12">
      <c r="B22" s="14"/>
      <c r="C22" s="14">
        <v>3</v>
      </c>
      <c r="D22" s="13">
        <f>I21*C$7</f>
        <v>25000</v>
      </c>
      <c r="E22" s="13">
        <f>I21+D22</f>
        <v>275000</v>
      </c>
      <c r="F22" s="13">
        <f>D22</f>
        <v>25000</v>
      </c>
      <c r="G22" s="13">
        <f>I$19/C$8</f>
        <v>125000</v>
      </c>
      <c r="H22" s="13">
        <f>F22+G22</f>
        <v>150000</v>
      </c>
      <c r="I22" s="13">
        <f>E22-H22</f>
        <v>125000</v>
      </c>
      <c r="K22" s="13">
        <f>NPV(C$3,,,H22)</f>
        <v>133734.85660818065</v>
      </c>
    </row>
    <row r="23" spans="2:12">
      <c r="B23" s="14"/>
      <c r="C23" s="14">
        <v>4</v>
      </c>
      <c r="D23" s="13">
        <f>I22*C$7</f>
        <v>12500</v>
      </c>
      <c r="E23" s="13">
        <f>I22+D23</f>
        <v>137500</v>
      </c>
      <c r="F23" s="13">
        <f>D23</f>
        <v>12500</v>
      </c>
      <c r="G23" s="13">
        <f>I$19/C$8</f>
        <v>125000</v>
      </c>
      <c r="H23" s="13">
        <f>F23+G23</f>
        <v>137500</v>
      </c>
      <c r="I23" s="13">
        <f>E23-H23</f>
        <v>0</v>
      </c>
      <c r="J23" s="32">
        <f>NPV(C$4,H20:H23)</f>
        <v>435313.56671141379</v>
      </c>
      <c r="K23" s="13">
        <f>NPV(C$3,,,,H23)</f>
        <v>117988.72495107373</v>
      </c>
      <c r="L23" s="32">
        <f>NPV(C$5,K20:K23)</f>
        <v>435313.56671141379</v>
      </c>
    </row>
    <row r="24" spans="2:12">
      <c r="B24" s="14"/>
      <c r="C24" s="14"/>
    </row>
    <row r="25" spans="2:12">
      <c r="B25" s="14">
        <v>3</v>
      </c>
      <c r="C25" s="14">
        <v>0</v>
      </c>
      <c r="I25" s="13">
        <f>C$6</f>
        <v>500000</v>
      </c>
      <c r="K25" s="13"/>
    </row>
    <row r="26" spans="2:12">
      <c r="B26" s="14"/>
      <c r="C26" s="14">
        <v>1</v>
      </c>
      <c r="D26" s="13">
        <f>I25*C$7</f>
        <v>50000</v>
      </c>
      <c r="E26" s="13">
        <f>I25+D26</f>
        <v>550000</v>
      </c>
      <c r="F26" s="13">
        <f>D26</f>
        <v>50000</v>
      </c>
      <c r="G26" s="13">
        <f>PPMT(C$7,C26,C$8,-I$25)</f>
        <v>107735.40185304893</v>
      </c>
      <c r="H26" s="13">
        <f>F26+G26</f>
        <v>157735.40185304894</v>
      </c>
      <c r="I26" s="13">
        <f>E26-H26</f>
        <v>392264.59814695106</v>
      </c>
      <c r="K26" s="13">
        <f>NPV(C$3,H26)</f>
        <v>151814.63123488831</v>
      </c>
    </row>
    <row r="27" spans="2:12">
      <c r="B27" s="14"/>
      <c r="C27" s="14">
        <v>2</v>
      </c>
      <c r="D27" s="13">
        <f>I26*C$7</f>
        <v>39226.45981469511</v>
      </c>
      <c r="E27" s="13">
        <f>I26+D27</f>
        <v>431491.05796164618</v>
      </c>
      <c r="F27" s="13">
        <f>D27</f>
        <v>39226.45981469511</v>
      </c>
      <c r="G27" s="13">
        <f>PPMT(C$7,C27,C$8,-I$25)</f>
        <v>118508.94203835382</v>
      </c>
      <c r="H27" s="13">
        <f>F27+G27</f>
        <v>157735.40185304894</v>
      </c>
      <c r="I27" s="13">
        <f>E27-H27</f>
        <v>273755.65610859724</v>
      </c>
      <c r="K27" s="13">
        <f>NPV(C$3,,H27)</f>
        <v>146116.10320970963</v>
      </c>
    </row>
    <row r="28" spans="2:12">
      <c r="B28" s="14"/>
      <c r="C28" s="14">
        <v>3</v>
      </c>
      <c r="D28" s="13">
        <f>I27*C$7</f>
        <v>27375.565610859725</v>
      </c>
      <c r="E28" s="13">
        <f>I27+D28</f>
        <v>301131.22171945695</v>
      </c>
      <c r="F28" s="13">
        <f>D28</f>
        <v>27375.565610859725</v>
      </c>
      <c r="G28" s="13">
        <f>PPMT(C$7,C28,C$8,-I$25)</f>
        <v>130359.83624218919</v>
      </c>
      <c r="H28" s="13">
        <f>F28+G28</f>
        <v>157735.40185304891</v>
      </c>
      <c r="I28" s="13">
        <f>E28-H28</f>
        <v>143395.81986640804</v>
      </c>
      <c r="K28" s="13">
        <f>NPV(C$3,,,H28)</f>
        <v>140631.47565900831</v>
      </c>
    </row>
    <row r="29" spans="2:12">
      <c r="B29" s="14"/>
      <c r="C29" s="14">
        <v>4</v>
      </c>
      <c r="D29" s="13">
        <f>I28*C$7</f>
        <v>14339.581986640806</v>
      </c>
      <c r="E29" s="13">
        <f>I28+D29</f>
        <v>157735.40185304885</v>
      </c>
      <c r="F29" s="13">
        <f>D29</f>
        <v>14339.581986640806</v>
      </c>
      <c r="G29" s="13">
        <f>PPMT(C$7,C29,C$8,-I$25)</f>
        <v>143395.8198664081</v>
      </c>
      <c r="H29" s="13">
        <f>F29+G29</f>
        <v>157735.40185304891</v>
      </c>
      <c r="I29" s="13">
        <f>E29-H29</f>
        <v>0</v>
      </c>
      <c r="J29" s="32">
        <f>NPV(C$4,H26:H29)</f>
        <v>432705.27674172143</v>
      </c>
      <c r="K29" s="13">
        <f>NPV(C$3,,,,H29)</f>
        <v>135352.71959481071</v>
      </c>
      <c r="L29" s="32">
        <f>NPV(C$5,K26:K29)</f>
        <v>432705.27674172138</v>
      </c>
    </row>
    <row r="30" spans="2:12">
      <c r="B30" s="14"/>
      <c r="C30" s="14"/>
    </row>
    <row r="31" spans="2:12">
      <c r="B31" s="14">
        <v>4</v>
      </c>
      <c r="C31" s="14">
        <v>0</v>
      </c>
      <c r="I31" s="13">
        <f>C$6</f>
        <v>500000</v>
      </c>
      <c r="K31" s="13"/>
    </row>
    <row r="32" spans="2:12">
      <c r="B32" s="14"/>
      <c r="C32" s="14">
        <v>1</v>
      </c>
      <c r="D32" s="13">
        <f>I31*C$7</f>
        <v>50000</v>
      </c>
      <c r="E32" s="13">
        <f>I31+D32</f>
        <v>550000</v>
      </c>
      <c r="F32" s="13">
        <v>0</v>
      </c>
      <c r="G32" s="13">
        <v>0</v>
      </c>
      <c r="H32" s="13">
        <f>F32+G32</f>
        <v>0</v>
      </c>
      <c r="I32" s="13">
        <f>E32-H32</f>
        <v>550000</v>
      </c>
      <c r="K32" s="13">
        <f>NPV(C$3,H32)</f>
        <v>0</v>
      </c>
    </row>
    <row r="33" spans="2:12">
      <c r="B33" s="14"/>
      <c r="C33" s="14">
        <v>2</v>
      </c>
      <c r="D33" s="13">
        <f>I32*C$7</f>
        <v>55000</v>
      </c>
      <c r="E33" s="13">
        <f>I32+D33</f>
        <v>605000</v>
      </c>
      <c r="F33" s="13">
        <v>0</v>
      </c>
      <c r="G33" s="13">
        <v>0</v>
      </c>
      <c r="H33" s="13">
        <f>F33+G33</f>
        <v>0</v>
      </c>
      <c r="I33" s="13">
        <f>E33-H33</f>
        <v>605000</v>
      </c>
      <c r="K33" s="13">
        <f>NPV(C$3,,H33)</f>
        <v>0</v>
      </c>
    </row>
    <row r="34" spans="2:12">
      <c r="B34" s="14"/>
      <c r="C34" s="14">
        <v>3</v>
      </c>
      <c r="D34" s="13">
        <f>I33*C$7</f>
        <v>60500</v>
      </c>
      <c r="E34" s="13">
        <f>I33+D34</f>
        <v>665500</v>
      </c>
      <c r="F34" s="13">
        <v>0</v>
      </c>
      <c r="G34" s="13">
        <v>0</v>
      </c>
      <c r="H34" s="13">
        <f>F34+G34</f>
        <v>0</v>
      </c>
      <c r="I34" s="13">
        <f>E34-H34</f>
        <v>665500</v>
      </c>
      <c r="K34" s="13">
        <f>NPV(C$3,,,H34)</f>
        <v>0</v>
      </c>
    </row>
    <row r="35" spans="2:12">
      <c r="B35" s="14"/>
      <c r="C35" s="14">
        <v>4</v>
      </c>
      <c r="D35" s="13">
        <f>I34*C$7</f>
        <v>66550</v>
      </c>
      <c r="E35" s="13">
        <f>I34+D35</f>
        <v>732050</v>
      </c>
      <c r="F35" s="13">
        <f>E35-G35</f>
        <v>232050</v>
      </c>
      <c r="G35" s="13">
        <f>I31</f>
        <v>500000</v>
      </c>
      <c r="H35" s="13">
        <f>F35+G35</f>
        <v>732050</v>
      </c>
      <c r="I35" s="13">
        <f>E35-H35</f>
        <v>0</v>
      </c>
      <c r="J35" s="32">
        <f>NPV(C$4,H32:H35)</f>
        <v>390658.51780908421</v>
      </c>
      <c r="K35" s="13">
        <f>NPV(C$3,,,,H35)</f>
        <v>628171.97163951653</v>
      </c>
      <c r="L35" s="32">
        <f>NPV(C$5,K32:K35)</f>
        <v>390658.51780908415</v>
      </c>
    </row>
    <row r="36" spans="2:12">
      <c r="B36" s="14"/>
      <c r="C36" s="14"/>
    </row>
    <row r="37" spans="2:12">
      <c r="B37" s="14"/>
      <c r="C37" s="14"/>
    </row>
    <row r="38" spans="2:12">
      <c r="B38" s="14"/>
      <c r="C38" s="14"/>
    </row>
    <row r="39" spans="2:12">
      <c r="B39" s="14"/>
      <c r="C39" s="14"/>
    </row>
    <row r="40" spans="2:12">
      <c r="B40" s="14"/>
      <c r="C40" s="14"/>
    </row>
    <row r="41" spans="2:12">
      <c r="B41" s="14"/>
      <c r="C41" s="14"/>
    </row>
    <row r="42" spans="2:12">
      <c r="B42" s="14"/>
      <c r="C42" s="14"/>
    </row>
    <row r="43" spans="2:12">
      <c r="B43" s="14"/>
      <c r="C43" s="14"/>
    </row>
    <row r="44" spans="2:12">
      <c r="B44" s="14"/>
      <c r="C44" s="14"/>
    </row>
    <row r="45" spans="2:12">
      <c r="B45" s="14"/>
      <c r="C45" s="14"/>
    </row>
    <row r="46" spans="2:12">
      <c r="B46" s="14"/>
      <c r="C46" s="14"/>
    </row>
    <row r="47" spans="2:12">
      <c r="B47" s="14"/>
      <c r="C47" s="14"/>
    </row>
    <row r="48" spans="2:12">
      <c r="B48" s="14"/>
      <c r="C48" s="14"/>
    </row>
    <row r="49" spans="2:3">
      <c r="B49" s="14"/>
      <c r="C49" s="14"/>
    </row>
    <row r="50" spans="2:3">
      <c r="B50" s="14"/>
      <c r="C50" s="14"/>
    </row>
    <row r="51" spans="2:3">
      <c r="C51" s="14"/>
    </row>
    <row r="52" spans="2:3">
      <c r="C52" s="14"/>
    </row>
    <row r="53" spans="2:3">
      <c r="C53" s="14"/>
    </row>
    <row r="54" spans="2:3">
      <c r="C54" s="14"/>
    </row>
  </sheetData>
  <printOptions headings="1" gridLines="1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/>
  </sheetViews>
  <sheetFormatPr baseColWidth="10" defaultColWidth="8.83203125" defaultRowHeight="12" x14ac:dyDescent="0"/>
  <cols>
    <col min="1" max="1" width="15.5" bestFit="1" customWidth="1"/>
    <col min="3" max="3" width="14" customWidth="1"/>
    <col min="4" max="4" width="11.1640625" customWidth="1"/>
    <col min="5" max="5" width="17.33203125" customWidth="1"/>
  </cols>
  <sheetData>
    <row r="1" spans="1:2">
      <c r="A1" s="3" t="s">
        <v>132</v>
      </c>
    </row>
    <row r="2" spans="1:2">
      <c r="A2" s="38"/>
    </row>
    <row r="3" spans="1:2">
      <c r="A3" s="14" t="s">
        <v>72</v>
      </c>
      <c r="B3" s="3" t="s">
        <v>131</v>
      </c>
    </row>
    <row r="4" spans="1:2">
      <c r="A4" s="38"/>
      <c r="B4" s="3" t="s">
        <v>130</v>
      </c>
    </row>
    <row r="5" spans="1:2">
      <c r="A5" s="38"/>
      <c r="B5" s="3" t="s">
        <v>129</v>
      </c>
    </row>
    <row r="6" spans="1:2">
      <c r="A6" s="38"/>
      <c r="B6" s="3" t="s">
        <v>128</v>
      </c>
    </row>
    <row r="7" spans="1:2">
      <c r="A7" s="38"/>
      <c r="B7" s="3" t="s">
        <v>127</v>
      </c>
    </row>
    <row r="8" spans="1:2">
      <c r="A8" s="14"/>
      <c r="B8" s="3" t="s">
        <v>126</v>
      </c>
    </row>
    <row r="9" spans="1:2">
      <c r="A9" s="38"/>
      <c r="B9" s="3" t="s">
        <v>125</v>
      </c>
    </row>
    <row r="10" spans="1:2">
      <c r="A10" s="38"/>
      <c r="B10" s="3" t="s">
        <v>124</v>
      </c>
    </row>
    <row r="11" spans="1:2">
      <c r="A11" s="38"/>
      <c r="B11" s="3" t="s">
        <v>123</v>
      </c>
    </row>
    <row r="12" spans="1:2">
      <c r="A12" s="38"/>
      <c r="B12" s="3" t="s">
        <v>122</v>
      </c>
    </row>
    <row r="13" spans="1:2">
      <c r="A13" s="38"/>
    </row>
    <row r="14" spans="1:2">
      <c r="A14" s="38"/>
      <c r="B14" s="3" t="s">
        <v>121</v>
      </c>
    </row>
    <row r="15" spans="1:2">
      <c r="A15" s="38"/>
      <c r="B15" s="3" t="s">
        <v>120</v>
      </c>
    </row>
    <row r="16" spans="1:2">
      <c r="A16" s="38"/>
    </row>
    <row r="17" spans="1:5">
      <c r="A17" s="38"/>
      <c r="B17" s="3" t="s">
        <v>119</v>
      </c>
    </row>
    <row r="18" spans="1:5">
      <c r="A18" s="38"/>
      <c r="B18" s="3" t="s">
        <v>118</v>
      </c>
    </row>
    <row r="19" spans="1:5">
      <c r="A19" s="38"/>
    </row>
    <row r="20" spans="1:5">
      <c r="A20" s="38"/>
      <c r="B20" s="3" t="s">
        <v>117</v>
      </c>
    </row>
    <row r="21" spans="1:5">
      <c r="A21" s="38"/>
      <c r="B21" s="3" t="s">
        <v>116</v>
      </c>
    </row>
    <row r="22" spans="1:5">
      <c r="A22" s="38"/>
      <c r="B22" s="3" t="s">
        <v>115</v>
      </c>
    </row>
    <row r="23" spans="1:5">
      <c r="A23" s="38"/>
      <c r="B23" s="3" t="s">
        <v>114</v>
      </c>
    </row>
    <row r="24" spans="1:5">
      <c r="A24" s="14"/>
    </row>
    <row r="25" spans="1:5">
      <c r="A25" s="38"/>
      <c r="B25" s="3" t="s">
        <v>113</v>
      </c>
    </row>
    <row r="26" spans="1:5">
      <c r="A26" s="38"/>
      <c r="B26" s="3" t="s">
        <v>112</v>
      </c>
    </row>
    <row r="27" spans="1:5">
      <c r="A27" s="38"/>
    </row>
    <row r="28" spans="1:5">
      <c r="A28" s="14" t="s">
        <v>71</v>
      </c>
      <c r="B28" s="14" t="s">
        <v>111</v>
      </c>
      <c r="C28" s="3" t="s">
        <v>110</v>
      </c>
      <c r="D28" s="14" t="s">
        <v>109</v>
      </c>
      <c r="E28" s="14" t="s">
        <v>108</v>
      </c>
    </row>
    <row r="29" spans="1:5">
      <c r="A29" s="38"/>
      <c r="B29" s="38">
        <v>15</v>
      </c>
      <c r="C29" s="41">
        <f>((1.15^B29)-1)/((0.15)*(1.15^B29))</f>
        <v>5.8473700986310906</v>
      </c>
      <c r="D29" s="40">
        <f>78000-(5300*C29)</f>
        <v>47008.938477255215</v>
      </c>
      <c r="E29" s="38" t="str">
        <f>IF(D29&gt;=0,"HOLDING TANK","STORAGE FACILITY")</f>
        <v>HOLDING TANK</v>
      </c>
    </row>
    <row r="30" spans="1:5">
      <c r="A30" s="38"/>
      <c r="B30" s="38">
        <f>B29+1</f>
        <v>16</v>
      </c>
      <c r="C30" s="41">
        <f>((1.15^B30)-1)/((0.15)*(1.15^B30))</f>
        <v>5.9542348683748614</v>
      </c>
      <c r="D30" s="40">
        <f>78000-(5300*C30)</f>
        <v>46442.555197613234</v>
      </c>
      <c r="E30" s="38" t="str">
        <f>IF(D30&gt;=0,"HOLDING TANK","STORAGE FACILITY")</f>
        <v>HOLDING TANK</v>
      </c>
    </row>
    <row r="31" spans="1:5">
      <c r="A31" s="38"/>
      <c r="B31" s="38">
        <f>B30+1</f>
        <v>17</v>
      </c>
      <c r="C31" s="41">
        <f>((1.15^B31)-1)/((0.15)*(1.15^B31))</f>
        <v>6.0471607551085746</v>
      </c>
      <c r="D31" s="40">
        <f>78000-(5300*C31)</f>
        <v>45950.047997924557</v>
      </c>
      <c r="E31" s="38" t="str">
        <f>IF(D31&gt;=0,"HOLDING TANK","STORAGE FACILITY")</f>
        <v>HOLDING TANK</v>
      </c>
    </row>
    <row r="32" spans="1:5">
      <c r="A32" s="38"/>
      <c r="B32" s="38">
        <f>B31+1</f>
        <v>18</v>
      </c>
      <c r="C32" s="41">
        <f>((1.15^B32)-1)/((0.15)*(1.15^B32))</f>
        <v>6.1279658740074563</v>
      </c>
      <c r="D32" s="40">
        <f>78000-(5300*C32)</f>
        <v>45521.780867760477</v>
      </c>
      <c r="E32" s="38" t="str">
        <f>IF(D32&gt;=0,"HOLDING TANK","STORAGE FACILITY")</f>
        <v>HOLDING TANK</v>
      </c>
    </row>
    <row r="33" spans="1:5">
      <c r="A33" s="38"/>
      <c r="B33" s="38">
        <f>B32+1</f>
        <v>19</v>
      </c>
      <c r="C33" s="41">
        <f>((1.15^B33)-1)/((0.15)*(1.15^B33))</f>
        <v>6.1982311947890922</v>
      </c>
      <c r="D33" s="40">
        <f>78000-(5300*C33)</f>
        <v>45149.374667617813</v>
      </c>
      <c r="E33" s="38" t="str">
        <f>IF(D33&gt;=0,"HOLDING TANK","STORAGE FACILITY")</f>
        <v>HOLDING TANK</v>
      </c>
    </row>
    <row r="34" spans="1:5">
      <c r="A34" s="38"/>
      <c r="B34" s="38">
        <f>B33+1</f>
        <v>20</v>
      </c>
      <c r="C34" s="41">
        <f>((1.15^B34)-1)/((0.15)*(1.15^B34))</f>
        <v>6.2593314737296453</v>
      </c>
      <c r="D34" s="40">
        <f>78000-(5300*C34)</f>
        <v>44825.543189232878</v>
      </c>
      <c r="E34" s="38" t="str">
        <f>IF(D34&gt;=0,"HOLDING TANK","STORAGE FACILITY")</f>
        <v>HOLDING TANK</v>
      </c>
    </row>
    <row r="35" spans="1:5">
      <c r="A35" s="38"/>
      <c r="B35" s="38">
        <f>B34+1</f>
        <v>21</v>
      </c>
      <c r="C35" s="41">
        <f>((1.15^B35)-1)/((0.15)*(1.15^B35))</f>
        <v>6.3124621510692567</v>
      </c>
      <c r="D35" s="40">
        <f>78000-(5300*C35)</f>
        <v>44543.950599332937</v>
      </c>
      <c r="E35" s="38" t="str">
        <f>IF(D35&gt;=0,"HOLDING TANK","STORAGE FACILITY")</f>
        <v>HOLDING TANK</v>
      </c>
    </row>
    <row r="36" spans="1:5">
      <c r="A36" s="38"/>
      <c r="B36" s="38">
        <f>B35+1</f>
        <v>22</v>
      </c>
      <c r="C36" s="41">
        <f>((1.15^B36)-1)/((0.15)*(1.15^B36))</f>
        <v>6.3586627400602236</v>
      </c>
      <c r="D36" s="40">
        <f>78000-(5300*C36)</f>
        <v>44299.087477680812</v>
      </c>
      <c r="E36" s="38" t="str">
        <f>IF(D36&gt;=0,"HOLDING TANK","STORAGE FACILITY")</f>
        <v>HOLDING TANK</v>
      </c>
    </row>
    <row r="37" spans="1:5">
      <c r="A37" s="38"/>
      <c r="B37" s="38">
        <f>B36+1</f>
        <v>23</v>
      </c>
      <c r="C37" s="41">
        <f>((1.15^B37)-1)/((0.15)*(1.15^B37))</f>
        <v>6.39883716526976</v>
      </c>
      <c r="D37" s="40">
        <f>78000-(5300*C37)</f>
        <v>44086.163024070273</v>
      </c>
      <c r="E37" s="38" t="str">
        <f>IF(D37&gt;=0,"HOLDING TANK","STORAGE FACILITY")</f>
        <v>HOLDING TANK</v>
      </c>
    </row>
    <row r="38" spans="1:5">
      <c r="A38" s="38"/>
      <c r="B38" s="38">
        <f>B37+1</f>
        <v>24</v>
      </c>
      <c r="C38" s="41">
        <f>((1.15^B38)-1)/((0.15)*(1.15^B38))</f>
        <v>6.4337714480606607</v>
      </c>
      <c r="D38" s="40">
        <f>78000-(5300*C38)</f>
        <v>43901.011325278501</v>
      </c>
      <c r="E38" s="38" t="str">
        <f>IF(D38&gt;=0,"HOLDING TANK","STORAGE FACILITY")</f>
        <v>HOLDING TANK</v>
      </c>
    </row>
    <row r="39" spans="1:5">
      <c r="A39" s="38"/>
      <c r="B39" s="38">
        <f>B38+1</f>
        <v>25</v>
      </c>
      <c r="C39" s="41">
        <f>((1.15^B39)-1)/((0.15)*(1.15^B39))</f>
        <v>6.4641490852701402</v>
      </c>
      <c r="D39" s="40">
        <f>78000-(5300*C39)</f>
        <v>43740.009848068257</v>
      </c>
      <c r="E39" s="38" t="str">
        <f>IF(D39&gt;=0,"HOLDING TANK","STORAGE FACILITY")</f>
        <v>HOLDING TANK</v>
      </c>
    </row>
    <row r="40" spans="1:5">
      <c r="A40" s="38"/>
      <c r="B40" s="38"/>
    </row>
    <row r="41" spans="1:5">
      <c r="A41" s="38"/>
      <c r="B41" s="39" t="s">
        <v>107</v>
      </c>
    </row>
    <row r="42" spans="1:5">
      <c r="A42" s="38"/>
      <c r="B42" s="3" t="s">
        <v>106</v>
      </c>
    </row>
    <row r="43" spans="1:5">
      <c r="A43" s="38"/>
      <c r="B43" s="3" t="s">
        <v>105</v>
      </c>
    </row>
    <row r="44" spans="1:5">
      <c r="B44" s="3" t="s">
        <v>104</v>
      </c>
    </row>
  </sheetData>
  <pageMargins left="0.75" right="0.75" top="1" bottom="1" header="0.5" footer="0.5"/>
  <pageSetup orientation="portrait" horizontalDpi="4294967294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Prob 8.64</vt:lpstr>
      <vt:lpstr>Prob 9.30</vt:lpstr>
      <vt:lpstr>Prob 10.41</vt:lpstr>
      <vt:lpstr>Prob 12.34</vt:lpstr>
      <vt:lpstr>Prob 13.21</vt:lpstr>
    </vt:vector>
  </TitlesOfParts>
  <Company>Temple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Picone</dc:creator>
  <cp:lastModifiedBy>Joseph Picone</cp:lastModifiedBy>
  <dcterms:created xsi:type="dcterms:W3CDTF">2013-05-15T01:46:40Z</dcterms:created>
  <dcterms:modified xsi:type="dcterms:W3CDTF">2013-05-15T02:34:12Z</dcterms:modified>
</cp:coreProperties>
</file>